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334E1D58-946D-421D-B4BE-04C9FF3BE67B}" xr6:coauthVersionLast="47" xr6:coauthVersionMax="47" xr10:uidLastSave="{00000000-0000-0000-0000-000000000000}"/>
  <bookViews>
    <workbookView xWindow="-120" yWindow="-120" windowWidth="29040" windowHeight="15840" tabRatio="976" xr2:uid="{00000000-000D-0000-FFFF-FFFF00000000}"/>
  </bookViews>
  <sheets>
    <sheet name="INSTRUÇOES PARA PREENCHIMENTO" sheetId="39" r:id="rId1"/>
    <sheet name="MODELO PROPOSTA" sheetId="2" r:id="rId2"/>
    <sheet name="Cálculo do BDI" sheetId="38" r:id="rId3"/>
    <sheet name="Oficial de Manutenção-Estimado" sheetId="31" r:id="rId4"/>
    <sheet name="Oficial de Manutenção" sheetId="32" r:id="rId5"/>
    <sheet name="Auxiliar de Manutenção-Estimado" sheetId="33" r:id="rId6"/>
    <sheet name="Auxiliar de Manutenção" sheetId="34" r:id="rId7"/>
    <sheet name="Eletrotécnico-Estimado" sheetId="35" r:id="rId8"/>
    <sheet name="Eletrotécnico" sheetId="36" r:id="rId9"/>
    <sheet name="Uniforme" sheetId="37" r:id="rId10"/>
    <sheet name="Materiais de Reposição" sheetId="27" r:id="rId11"/>
    <sheet name="DADOS-ESTATISTICOS" sheetId="29" state="hidden" r:id="rId12"/>
    <sheet name="ENCARGOS-SOCIAIS-E-TRABALHISTAS" sheetId="30" state="hidden" r:id="rId13"/>
  </sheets>
  <externalReferences>
    <externalReference r:id="rId14"/>
    <externalReference r:id="rId15"/>
    <externalReference r:id="rId16"/>
    <externalReference r:id="rId17"/>
  </externalReferences>
  <definedNames>
    <definedName name="AL_1_A_SAL_BASE" localSheetId="6">'Auxiliar de Manutenção'!$F$22</definedName>
    <definedName name="AL_1_A_SAL_BASE" localSheetId="5">'Auxiliar de Manutenção-Estimado'!$F$22</definedName>
    <definedName name="AL_1_A_SAL_BASE" localSheetId="8">Eletrotécnico!$F$22</definedName>
    <definedName name="AL_1_A_SAL_BASE" localSheetId="7">'Eletrotécnico-Estimado'!$F$22</definedName>
    <definedName name="AL_1_A_SAL_BASE" localSheetId="4">'Oficial de Manutenção'!$F$22</definedName>
    <definedName name="AL_1_A_SAL_BASE" localSheetId="3">'Oficial de Manutenção-Estimado'!$F$22</definedName>
    <definedName name="AL_1_B_ADIC_PERIC" localSheetId="6">'Auxiliar de Manutenção'!$F$23</definedName>
    <definedName name="AL_1_B_ADIC_PERIC" localSheetId="5">'Auxiliar de Manutenção-Estimado'!$F$23</definedName>
    <definedName name="AL_1_B_ADIC_PERIC" localSheetId="8">Eletrotécnico!$F$23</definedName>
    <definedName name="AL_1_B_ADIC_PERIC" localSheetId="7">'Eletrotécnico-Estimado'!$F$23</definedName>
    <definedName name="AL_1_B_ADIC_PERIC" localSheetId="4">'Oficial de Manutenção'!$F$23</definedName>
    <definedName name="AL_1_B_ADIC_PERIC" localSheetId="3">'Oficial de Manutenção-Estimado'!$F$23</definedName>
    <definedName name="AL_1_C_ADIC_NOT" localSheetId="6">'Auxiliar de Manutenção'!$F$24</definedName>
    <definedName name="AL_1_C_ADIC_NOT" localSheetId="5">'Auxiliar de Manutenção-Estimado'!$F$24</definedName>
    <definedName name="AL_1_C_ADIC_NOT" localSheetId="8">Eletrotécnico!$F$24</definedName>
    <definedName name="AL_1_C_ADIC_NOT" localSheetId="7">'Eletrotécnico-Estimado'!$F$24</definedName>
    <definedName name="AL_1_C_ADIC_NOT" localSheetId="4">'Oficial de Manutenção'!$F$24</definedName>
    <definedName name="AL_1_C_ADIC_NOT" localSheetId="3">'Oficial de Manutenção-Estimado'!$F$24</definedName>
    <definedName name="AL_1_D_ADIC_NOT_RED" localSheetId="6">'Auxiliar de Manutenção'!$F$25</definedName>
    <definedName name="AL_1_D_ADIC_NOT_RED" localSheetId="5">'Auxiliar de Manutenção-Estimado'!$F$25</definedName>
    <definedName name="AL_1_D_ADIC_NOT_RED" localSheetId="8">Eletrotécnico!$F$25</definedName>
    <definedName name="AL_1_D_ADIC_NOT_RED" localSheetId="7">'Eletrotécnico-Estimado'!$F$25</definedName>
    <definedName name="AL_1_D_ADIC_NOT_RED" localSheetId="4">'Oficial de Manutenção'!$F$25</definedName>
    <definedName name="AL_1_D_ADIC_NOT_RED" localSheetId="3">'Oficial de Manutenção-Estimado'!$F$25</definedName>
    <definedName name="AL_2_1_A_DEC_TERC" localSheetId="6">'Auxiliar de Manutenção'!$F$34</definedName>
    <definedName name="AL_2_1_A_DEC_TERC" localSheetId="5">'Auxiliar de Manutenção-Estimado'!$F$34</definedName>
    <definedName name="AL_2_1_A_DEC_TERC" localSheetId="8">Eletrotécnico!$F$34</definedName>
    <definedName name="AL_2_1_A_DEC_TERC" localSheetId="7">'Eletrotécnico-Estimado'!$F$34</definedName>
    <definedName name="AL_2_1_A_DEC_TERC" localSheetId="4">'Oficial de Manutenção'!$F$34</definedName>
    <definedName name="AL_2_1_A_DEC_TERC" localSheetId="3">'Oficial de Manutenção-Estimado'!$F$34</definedName>
    <definedName name="AL_2_1_B_ADIC_FERIAS" localSheetId="6">'Auxiliar de Manutenção'!$F$35</definedName>
    <definedName name="AL_2_1_B_ADIC_FERIAS" localSheetId="5">'Auxiliar de Manutenção-Estimado'!$F$35</definedName>
    <definedName name="AL_2_1_B_ADIC_FERIAS" localSheetId="8">Eletrotécnico!$F$35</definedName>
    <definedName name="AL_2_1_B_ADIC_FERIAS" localSheetId="7">'Eletrotécnico-Estimado'!$F$35</definedName>
    <definedName name="AL_2_1_B_ADIC_FERIAS" localSheetId="4">'Oficial de Manutenção'!$F$35</definedName>
    <definedName name="AL_2_1_B_ADIC_FERIAS" localSheetId="3">'Oficial de Manutenção-Estimado'!$F$35</definedName>
    <definedName name="AL_2_2_FGTS" localSheetId="6">'Auxiliar de Manutenção'!$F$46</definedName>
    <definedName name="AL_2_2_FGTS" localSheetId="5">'Auxiliar de Manutenção-Estimado'!$F$46</definedName>
    <definedName name="AL_2_2_FGTS" localSheetId="8">Eletrotécnico!$F$46</definedName>
    <definedName name="AL_2_2_FGTS" localSheetId="7">'Eletrotécnico-Estimado'!$F$46</definedName>
    <definedName name="AL_2_2_FGTS" localSheetId="4">'Oficial de Manutenção'!$F$46</definedName>
    <definedName name="AL_2_2_FGTS" localSheetId="3">'Oficial de Manutenção-Estimado'!$F$46</definedName>
    <definedName name="AL_2_3_A_TRANSP" localSheetId="6">'Auxiliar de Manutenção'!$F$50</definedName>
    <definedName name="AL_2_3_A_TRANSP" localSheetId="5">'Auxiliar de Manutenção-Estimado'!$F$50</definedName>
    <definedName name="AL_2_3_A_TRANSP" localSheetId="8">Eletrotécnico!$F$50</definedName>
    <definedName name="AL_2_3_A_TRANSP" localSheetId="7">'Eletrotécnico-Estimado'!$F$50</definedName>
    <definedName name="AL_2_3_A_TRANSP" localSheetId="4">'Oficial de Manutenção'!$F$50</definedName>
    <definedName name="AL_2_3_A_TRANSP" localSheetId="3">'Oficial de Manutenção-Estimado'!$F$50</definedName>
    <definedName name="AL_2_3_B_AUX_ALIMENT" localSheetId="6">'Auxiliar de Manutenção'!$F$51</definedName>
    <definedName name="AL_2_3_B_AUX_ALIMENT" localSheetId="5">'Auxiliar de Manutenção-Estimado'!$F$51</definedName>
    <definedName name="AL_2_3_B_AUX_ALIMENT" localSheetId="8">Eletrotécnico!$F$51</definedName>
    <definedName name="AL_2_3_B_AUX_ALIMENT" localSheetId="7">'Eletrotécnico-Estimado'!$F$51</definedName>
    <definedName name="AL_2_3_B_AUX_ALIMENT" localSheetId="4">'Oficial de Manutenção'!$F$51</definedName>
    <definedName name="AL_2_3_B_AUX_ALIMENT" localSheetId="3">'Oficial de Manutenção-Estimado'!$F$51</definedName>
    <definedName name="AL_2_3_C_OUTROS_BENEF" localSheetId="6">'Auxiliar de Manutenção'!$F$52</definedName>
    <definedName name="AL_2_3_C_OUTROS_BENEF" localSheetId="5">'Auxiliar de Manutenção-Estimado'!$F$52</definedName>
    <definedName name="AL_2_3_C_OUTROS_BENEF" localSheetId="8">Eletrotécnico!$F$52</definedName>
    <definedName name="AL_2_3_C_OUTROS_BENEF" localSheetId="7">'Eletrotécnico-Estimado'!$F$52</definedName>
    <definedName name="AL_2_3_C_OUTROS_BENEF" localSheetId="4">'Oficial de Manutenção'!$F$52</definedName>
    <definedName name="AL_2_3_C_OUTROS_BENEF" localSheetId="3">'Oficial de Manutenção-Estimado'!$F$52</definedName>
    <definedName name="AL_2_A_ATE_2_G_GPS" localSheetId="6">'Auxiliar de Manutenção'!$F$39:$F$45</definedName>
    <definedName name="AL_2_A_ATE_2_G_GPS" localSheetId="5">'Auxiliar de Manutenção-Estimado'!$F$39:$F$45</definedName>
    <definedName name="AL_2_A_ATE_2_G_GPS" localSheetId="8">Eletrotécnico!$F$39:$F$45</definedName>
    <definedName name="AL_2_A_ATE_2_G_GPS" localSheetId="7">'Eletrotécnico-Estimado'!$F$39:$F$45</definedName>
    <definedName name="AL_2_A_ATE_2_G_GPS" localSheetId="4">'Oficial de Manutenção'!$F$39:$F$45</definedName>
    <definedName name="AL_2_A_ATE_2_G_GPS" localSheetId="3">'Oficial de Manutenção-Estimado'!$F$39:$F$45</definedName>
    <definedName name="AL_6_A_CUSTOS_INDIRETOS" localSheetId="6">'Auxiliar de Manutenção'!$F$88</definedName>
    <definedName name="AL_6_A_CUSTOS_INDIRETOS" localSheetId="5">'Auxiliar de Manutenção-Estimado'!$F$88</definedName>
    <definedName name="AL_6_A_CUSTOS_INDIRETOS" localSheetId="8">Eletrotécnico!$F$88</definedName>
    <definedName name="AL_6_A_CUSTOS_INDIRETOS" localSheetId="7">'Eletrotécnico-Estimado'!$F$88</definedName>
    <definedName name="AL_6_A_CUSTOS_INDIRETOS" localSheetId="4">'Oficial de Manutenção'!$F$88</definedName>
    <definedName name="AL_6_A_CUSTOS_INDIRETOS" localSheetId="3">'Oficial de Manutenção-Estimado'!$F$88</definedName>
    <definedName name="AL_6_B_LUCRO" localSheetId="6">'Auxiliar de Manutenção'!$F$89</definedName>
    <definedName name="AL_6_B_LUCRO" localSheetId="5">'Auxiliar de Manutenção-Estimado'!$F$89</definedName>
    <definedName name="AL_6_B_LUCRO" localSheetId="8">Eletrotécnico!$F$89</definedName>
    <definedName name="AL_6_B_LUCRO" localSheetId="7">'Eletrotécnico-Estimado'!$F$89</definedName>
    <definedName name="AL_6_B_LUCRO" localSheetId="4">'Oficial de Manutenção'!$F$89</definedName>
    <definedName name="AL_6_B_LUCRO" localSheetId="3">'Oficial de Manutenção-Estimado'!$F$89</definedName>
    <definedName name="AL_6_C_1_PIS" localSheetId="6">'Auxiliar de Manutenção'!$F$91</definedName>
    <definedName name="AL_6_C_1_PIS" localSheetId="5">'Auxiliar de Manutenção-Estimado'!$F$91</definedName>
    <definedName name="AL_6_C_1_PIS" localSheetId="8">Eletrotécnico!$F$91</definedName>
    <definedName name="AL_6_C_1_PIS" localSheetId="7">'Eletrotécnico-Estimado'!$F$91</definedName>
    <definedName name="AL_6_C_1_PIS" localSheetId="4">'Oficial de Manutenção'!$F$91</definedName>
    <definedName name="AL_6_C_1_PIS" localSheetId="3">'Oficial de Manutenção-Estimado'!$F$91</definedName>
    <definedName name="AL_6_C_2_COFINS" localSheetId="6">'Auxiliar de Manutenção'!$F$92</definedName>
    <definedName name="AL_6_C_2_COFINS" localSheetId="5">'Auxiliar de Manutenção-Estimado'!$F$92</definedName>
    <definedName name="AL_6_C_2_COFINS" localSheetId="8">Eletrotécnico!$F$92</definedName>
    <definedName name="AL_6_C_2_COFINS" localSheetId="7">'Eletrotécnico-Estimado'!$F$92</definedName>
    <definedName name="AL_6_C_2_COFINS" localSheetId="4">'Oficial de Manutenção'!$F$92</definedName>
    <definedName name="AL_6_C_2_COFINS" localSheetId="3">'Oficial de Manutenção-Estimado'!$F$92</definedName>
    <definedName name="AL_6_C_3_ISS" localSheetId="6">'Auxiliar de Manutenção'!$F$93</definedName>
    <definedName name="AL_6_C_3_ISS" localSheetId="5">'Auxiliar de Manutenção-Estimado'!$F$93</definedName>
    <definedName name="AL_6_C_3_ISS" localSheetId="8">Eletrotécnico!$F$93</definedName>
    <definedName name="AL_6_C_3_ISS" localSheetId="7">'Eletrotécnico-Estimado'!$F$93</definedName>
    <definedName name="AL_6_C_3_ISS" localSheetId="4">'Oficial de Manutenção'!$F$93</definedName>
    <definedName name="AL_6_C_3_ISS" localSheetId="3">'Oficial de Manutenção-Estimado'!$F$93</definedName>
    <definedName name="AL_6_C_TRIBUTOS" localSheetId="6">'Auxiliar de Manutenção'!$F$90</definedName>
    <definedName name="AL_6_C_TRIBUTOS" localSheetId="5">'Auxiliar de Manutenção-Estimado'!$F$90</definedName>
    <definedName name="AL_6_C_TRIBUTOS" localSheetId="8">Eletrotécnico!$F$90</definedName>
    <definedName name="AL_6_C_TRIBUTOS" localSheetId="7">'Eletrotécnico-Estimado'!$F$90</definedName>
    <definedName name="AL_6_C_TRIBUTOS" localSheetId="4">'Oficial de Manutenção'!$F$90</definedName>
    <definedName name="AL_6_C_TRIBUTOS" localSheetId="3">'Oficial de Manutenção-Estimado'!$F$90</definedName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PROPOSTA'!$A$1:$I$76</definedName>
    <definedName name="CATEGORIA_PROFISSIONAL">'[1]INSERÇÃO-DE-DADOS'!$D$23</definedName>
    <definedName name="DATA_APRESENTACAO_PROPOSTA">'[1]INSERÇÃO-DE-DADOS'!$F$11</definedName>
    <definedName name="DATA_DO_ORCAMENTO_ESTIMATIVO">'[1]INSERÇÃO-DE-DADOS'!$F$2</definedName>
    <definedName name="DIAS_AUSENCIAS_LEGAIS" localSheetId="6">'[1]DADOS-ESTATISTICOS'!$F$27</definedName>
    <definedName name="DIAS_AUSENCIAS_LEGAIS" localSheetId="5">'[2]DADOS-ESTATISTICOS'!$F$27</definedName>
    <definedName name="DIAS_AUSENCIAS_LEGAIS" localSheetId="2">'[3]DADOS-ESTATISTICOS'!$F$27</definedName>
    <definedName name="DIAS_AUSENCIAS_LEGAIS" localSheetId="8">'[1]DADOS-ESTATISTICOS'!$F$27</definedName>
    <definedName name="DIAS_AUSENCIAS_LEGAIS" localSheetId="7">'[2]DADOS-ESTATISTICOS'!$F$27</definedName>
    <definedName name="DIAS_AUSENCIAS_LEGAIS" localSheetId="12">'[3]DADOS-ESTATISTICOS'!$F$27</definedName>
    <definedName name="DIAS_AUSENCIAS_LEGAIS" localSheetId="0">'[3]DADOS-ESTATISTICOS'!$F$27</definedName>
    <definedName name="DIAS_AUSENCIAS_LEGAIS" localSheetId="4">'[1]DADOS-ESTATISTICOS'!$F$27</definedName>
    <definedName name="DIAS_AUSENCIAS_LEGAIS" localSheetId="3">'[2]DADOS-ESTATISTICOS'!$F$27</definedName>
    <definedName name="DIAS_AUSENCIAS_LEGAIS" localSheetId="9">'[1]DADOS-ESTATISTICOS'!$F$27</definedName>
    <definedName name="DIAS_AUSENCIAS_LEGAIS">'DADOS-ESTATISTICOS'!$F$27</definedName>
    <definedName name="DIAS_LICENCA_MATERNIDADE" localSheetId="6">'[1]DADOS-ESTATISTICOS'!$F$33</definedName>
    <definedName name="DIAS_LICENCA_MATERNIDADE" localSheetId="5">'[2]DADOS-ESTATISTICOS'!$F$33</definedName>
    <definedName name="DIAS_LICENCA_MATERNIDADE" localSheetId="2">'[3]DADOS-ESTATISTICOS'!$F$33</definedName>
    <definedName name="DIAS_LICENCA_MATERNIDADE" localSheetId="8">'[1]DADOS-ESTATISTICOS'!$F$33</definedName>
    <definedName name="DIAS_LICENCA_MATERNIDADE" localSheetId="7">'[2]DADOS-ESTATISTICOS'!$F$33</definedName>
    <definedName name="DIAS_LICENCA_MATERNIDADE" localSheetId="12">'[3]DADOS-ESTATISTICOS'!$F$33</definedName>
    <definedName name="DIAS_LICENCA_MATERNIDADE" localSheetId="0">'[3]DADOS-ESTATISTICOS'!$F$33</definedName>
    <definedName name="DIAS_LICENCA_MATERNIDADE" localSheetId="4">'[1]DADOS-ESTATISTICOS'!$F$33</definedName>
    <definedName name="DIAS_LICENCA_MATERNIDADE" localSheetId="3">'[2]DADOS-ESTATISTICOS'!$F$33</definedName>
    <definedName name="DIAS_LICENCA_MATERNIDADE" localSheetId="9">'[1]DADOS-ESTATISTICOS'!$F$33</definedName>
    <definedName name="DIAS_LICENCA_MATERNIDADE">'DADOS-ESTATISTICOS'!$F$33</definedName>
    <definedName name="DIAS_LICENCA_PATERNIDADE" localSheetId="6">'[1]DADOS-ESTATISTICOS'!$F$28</definedName>
    <definedName name="DIAS_LICENCA_PATERNIDADE" localSheetId="5">'[2]DADOS-ESTATISTICOS'!$F$28</definedName>
    <definedName name="DIAS_LICENCA_PATERNIDADE" localSheetId="2">'[3]DADOS-ESTATISTICOS'!$F$28</definedName>
    <definedName name="DIAS_LICENCA_PATERNIDADE" localSheetId="8">'[1]DADOS-ESTATISTICOS'!$F$28</definedName>
    <definedName name="DIAS_LICENCA_PATERNIDADE" localSheetId="7">'[2]DADOS-ESTATISTICOS'!$F$28</definedName>
    <definedName name="DIAS_LICENCA_PATERNIDADE" localSheetId="12">'[3]DADOS-ESTATISTICOS'!$F$28</definedName>
    <definedName name="DIAS_LICENCA_PATERNIDADE" localSheetId="0">'[3]DADOS-ESTATISTICOS'!$F$28</definedName>
    <definedName name="DIAS_LICENCA_PATERNIDADE" localSheetId="4">'[1]DADOS-ESTATISTICOS'!$F$28</definedName>
    <definedName name="DIAS_LICENCA_PATERNIDADE" localSheetId="3">'[2]DADOS-ESTATISTICOS'!$F$28</definedName>
    <definedName name="DIAS_LICENCA_PATERNIDADE" localSheetId="9">'[1]DADOS-ESTATISTICOS'!$F$28</definedName>
    <definedName name="DIAS_LICENCA_PATERNIDADE">'DADOS-ESTATISTICOS'!$F$28</definedName>
    <definedName name="DIAS_NA_SEMANA" localSheetId="6">'[1]DADOS-ESTATISTICOS'!$F$5</definedName>
    <definedName name="DIAS_NA_SEMANA" localSheetId="5">'[2]DADOS-ESTATISTICOS'!$F$5</definedName>
    <definedName name="DIAS_NA_SEMANA" localSheetId="2">'[3]DADOS-ESTATISTICOS'!$F$5</definedName>
    <definedName name="DIAS_NA_SEMANA" localSheetId="8">'[1]DADOS-ESTATISTICOS'!$F$5</definedName>
    <definedName name="DIAS_NA_SEMANA" localSheetId="7">'[2]DADOS-ESTATISTICOS'!$F$5</definedName>
    <definedName name="DIAS_NA_SEMANA" localSheetId="12">'[3]DADOS-ESTATISTICOS'!$F$5</definedName>
    <definedName name="DIAS_NA_SEMANA" localSheetId="0">'[3]DADOS-ESTATISTICOS'!$F$5</definedName>
    <definedName name="DIAS_NA_SEMANA" localSheetId="4">'[1]DADOS-ESTATISTICOS'!$F$5</definedName>
    <definedName name="DIAS_NA_SEMANA" localSheetId="3">'[2]DADOS-ESTATISTICOS'!$F$5</definedName>
    <definedName name="DIAS_NA_SEMANA" localSheetId="9">'[1]DADOS-ESTATISTICOS'!$F$5</definedName>
    <definedName name="DIAS_NA_SEMANA">'DADOS-ESTATISTICOS'!$F$5</definedName>
    <definedName name="DIAS_NO_ANO">'DADOS-ESTATISTICOS'!$F$6</definedName>
    <definedName name="DIAS_NO_MES" localSheetId="6">'[1]DADOS-ESTATISTICOS'!$F$22</definedName>
    <definedName name="DIAS_NO_MES" localSheetId="5">'[2]DADOS-ESTATISTICOS'!$F$22</definedName>
    <definedName name="DIAS_NO_MES" localSheetId="2">'[3]DADOS-ESTATISTICOS'!$F$22</definedName>
    <definedName name="DIAS_NO_MES" localSheetId="8">'[1]DADOS-ESTATISTICOS'!$F$22</definedName>
    <definedName name="DIAS_NO_MES" localSheetId="7">'[2]DADOS-ESTATISTICOS'!$F$22</definedName>
    <definedName name="DIAS_NO_MES" localSheetId="12">'[3]DADOS-ESTATISTICOS'!$F$22</definedName>
    <definedName name="DIAS_NO_MES" localSheetId="0">'[3]DADOS-ESTATISTICOS'!$F$22</definedName>
    <definedName name="DIAS_NO_MES" localSheetId="4">'[1]DADOS-ESTATISTICOS'!$F$22</definedName>
    <definedName name="DIAS_NO_MES" localSheetId="3">'[2]DADOS-ESTATISTICOS'!$F$22</definedName>
    <definedName name="DIAS_NO_MES" localSheetId="9">'[1]DADOS-ESTATISTICOS'!$F$22</definedName>
    <definedName name="DIAS_NO_MES">'DADOS-ESTATISTICOS'!$F$22</definedName>
    <definedName name="DIAS_PAGOS_EMPRESA_ACID_TRAB" localSheetId="6">'[1]DADOS-ESTATISTICOS'!$F$32</definedName>
    <definedName name="DIAS_PAGOS_EMPRESA_ACID_TRAB" localSheetId="5">'[2]DADOS-ESTATISTICOS'!$F$32</definedName>
    <definedName name="DIAS_PAGOS_EMPRESA_ACID_TRAB" localSheetId="2">'[3]DADOS-ESTATISTICOS'!$F$32</definedName>
    <definedName name="DIAS_PAGOS_EMPRESA_ACID_TRAB" localSheetId="8">'[1]DADOS-ESTATISTICOS'!$F$32</definedName>
    <definedName name="DIAS_PAGOS_EMPRESA_ACID_TRAB" localSheetId="7">'[2]DADOS-ESTATISTICOS'!$F$32</definedName>
    <definedName name="DIAS_PAGOS_EMPRESA_ACID_TRAB" localSheetId="12">'[3]DADOS-ESTATISTICOS'!$F$32</definedName>
    <definedName name="DIAS_PAGOS_EMPRESA_ACID_TRAB" localSheetId="0">'[3]DADOS-ESTATISTICOS'!$F$32</definedName>
    <definedName name="DIAS_PAGOS_EMPRESA_ACID_TRAB" localSheetId="4">'[1]DADOS-ESTATISTICOS'!$F$32</definedName>
    <definedName name="DIAS_PAGOS_EMPRESA_ACID_TRAB" localSheetId="3">'[2]DADOS-ESTATISTICOS'!$F$32</definedName>
    <definedName name="DIAS_PAGOS_EMPRESA_ACID_TRAB" localSheetId="9">'[1]DADOS-ESTATISTICOS'!$F$32</definedName>
    <definedName name="DIAS_PAGOS_EMPRESA_ACID_TRAB">'DADOS-ESTATISTICOS'!$F$32</definedName>
    <definedName name="DIAS_TRABALHADOS_NO_MES">'[1]INSERÇÃO-DE-DADOS'!$F$43</definedName>
    <definedName name="DIVISOR_DE_HORAS" localSheetId="6">'[1]DADOS-ESTATISTICOS'!$F$4</definedName>
    <definedName name="DIVISOR_DE_HORAS" localSheetId="5">'[2]DADOS-ESTATISTICOS'!$F$4</definedName>
    <definedName name="DIVISOR_DE_HORAS" localSheetId="8">'[1]DADOS-ESTATISTICOS'!$F$4</definedName>
    <definedName name="DIVISOR_DE_HORAS" localSheetId="7">'[2]DADOS-ESTATISTICOS'!$F$4</definedName>
    <definedName name="DIVISOR_DE_HORAS" localSheetId="4">'[1]DADOS-ESTATISTICOS'!$F$4</definedName>
    <definedName name="DIVISOR_DE_HORAS" localSheetId="3">'[2]DADOS-ESTATISTICOS'!$F$4</definedName>
    <definedName name="DIVISOR_DE_HORAS" localSheetId="9">'[1]DADOS-ESTATISTICOS'!$F$4</definedName>
    <definedName name="DIVISOR_DE_HORAS">'DADOS-ESTATISTICOS'!$F$4</definedName>
    <definedName name="EMPREG_POR_POSTO">'[1]INSERÇÃO-DE-DADOS'!$E$19</definedName>
    <definedName name="HORA_NORMAL" localSheetId="6">'[1]DADOS-ESTATISTICOS'!$F$9</definedName>
    <definedName name="HORA_NORMAL" localSheetId="5">'[2]DADOS-ESTATISTICOS'!$F$9</definedName>
    <definedName name="HORA_NORMAL" localSheetId="8">'[1]DADOS-ESTATISTICOS'!$F$9</definedName>
    <definedName name="HORA_NORMAL" localSheetId="7">'[2]DADOS-ESTATISTICOS'!$F$9</definedName>
    <definedName name="HORA_NORMAL" localSheetId="4">'[1]DADOS-ESTATISTICOS'!$F$9</definedName>
    <definedName name="HORA_NORMAL" localSheetId="3">'[2]DADOS-ESTATISTICOS'!$F$9</definedName>
    <definedName name="HORA_NORMAL" localSheetId="9">'[1]DADOS-ESTATISTICOS'!$F$9</definedName>
    <definedName name="HORA_NORMAL">'DADOS-ESTATISTICOS'!$F$9</definedName>
    <definedName name="HORA_NOTURNA" localSheetId="6">'[1]DADOS-ESTATISTICOS'!$F$10</definedName>
    <definedName name="HORA_NOTURNA" localSheetId="5">'[2]DADOS-ESTATISTICOS'!$F$10</definedName>
    <definedName name="HORA_NOTURNA" localSheetId="8">'[1]DADOS-ESTATISTICOS'!$F$10</definedName>
    <definedName name="HORA_NOTURNA" localSheetId="7">'[2]DADOS-ESTATISTICOS'!$F$10</definedName>
    <definedName name="HORA_NOTURNA" localSheetId="4">'[1]DADOS-ESTATISTICOS'!$F$10</definedName>
    <definedName name="HORA_NOTURNA" localSheetId="3">'[2]DADOS-ESTATISTICOS'!$F$10</definedName>
    <definedName name="HORA_NOTURNA" localSheetId="9">'[1]DADOS-ESTATISTICOS'!$F$10</definedName>
    <definedName name="HORA_NOTURNA">'DADOS-ESTATISTICOS'!$F$10</definedName>
    <definedName name="LOCAL_DE_EXECUCAO">'[1]INSERÇÃO-DE-DADOS'!$D$12</definedName>
    <definedName name="MEDIA_ANUAL_DIAS_TRABALHO_MES" localSheetId="6">'[1]DADOS-ESTATISTICOS'!$F$7</definedName>
    <definedName name="MEDIA_ANUAL_DIAS_TRABALHO_MES" localSheetId="5">'[2]DADOS-ESTATISTICOS'!$F$7</definedName>
    <definedName name="MEDIA_ANUAL_DIAS_TRABALHO_MES" localSheetId="8">'[1]DADOS-ESTATISTICOS'!$F$7</definedName>
    <definedName name="MEDIA_ANUAL_DIAS_TRABALHO_MES" localSheetId="7">'[2]DADOS-ESTATISTICOS'!$F$7</definedName>
    <definedName name="MEDIA_ANUAL_DIAS_TRABALHO_MES" localSheetId="4">'[1]DADOS-ESTATISTICOS'!$F$7</definedName>
    <definedName name="MEDIA_ANUAL_DIAS_TRABALHO_MES" localSheetId="3">'[2]DADOS-ESTATISTICOS'!$F$7</definedName>
    <definedName name="MEDIA_ANUAL_DIAS_TRABALHO_MES" localSheetId="9">'[1]DADOS-ESTATISTICOS'!$F$7</definedName>
    <definedName name="MEDIA_ANUAL_DIAS_TRABALHO_MES">'DADOS-ESTATISTICOS'!$F$7</definedName>
    <definedName name="MESES_NO_ANO" localSheetId="6">'[1]DADOS-ESTATISTICOS'!$F$8</definedName>
    <definedName name="MESES_NO_ANO" localSheetId="5">'[2]DADOS-ESTATISTICOS'!$F$8</definedName>
    <definedName name="MESES_NO_ANO" localSheetId="2">'[3]DADOS-ESTATISTICOS'!$F$8</definedName>
    <definedName name="MESES_NO_ANO" localSheetId="8">'[1]DADOS-ESTATISTICOS'!$F$8</definedName>
    <definedName name="MESES_NO_ANO" localSheetId="7">'[2]DADOS-ESTATISTICOS'!$F$8</definedName>
    <definedName name="MESES_NO_ANO" localSheetId="12">'[3]DADOS-ESTATISTICOS'!$F$8</definedName>
    <definedName name="MESES_NO_ANO" localSheetId="0">'[3]DADOS-ESTATISTICOS'!$F$8</definedName>
    <definedName name="MESES_NO_ANO" localSheetId="4">'[1]DADOS-ESTATISTICOS'!$F$8</definedName>
    <definedName name="MESES_NO_ANO" localSheetId="3">'[2]DADOS-ESTATISTICOS'!$F$8</definedName>
    <definedName name="MESES_NO_ANO" localSheetId="9">'[1]DADOS-ESTATISTICOS'!$F$8</definedName>
    <definedName name="MESES_NO_ANO">'DADOS-ESTATISTICOS'!$F$8</definedName>
    <definedName name="MOD_1_REMUNERACAO" localSheetId="6">'Auxiliar de Manutenção'!$F$30</definedName>
    <definedName name="MOD_1_REMUNERACAO" localSheetId="5">'Auxiliar de Manutenção-Estimado'!$F$30</definedName>
    <definedName name="MOD_1_REMUNERACAO" localSheetId="8">Eletrotécnico!$F$30</definedName>
    <definedName name="MOD_1_REMUNERACAO" localSheetId="7">'Eletrotécnico-Estimado'!$F$30</definedName>
    <definedName name="MOD_1_REMUNERACAO" localSheetId="4">'Oficial de Manutenção'!$F$30</definedName>
    <definedName name="MOD_1_REMUNERACAO" localSheetId="3">'Oficial de Manutenção-Estimado'!$F$30</definedName>
    <definedName name="MOD_2_ENCARGOS_BENEFICIOS" localSheetId="6">'Auxiliar de Manutenção'!$F$36+'Auxiliar de Manutenção'!$F$47+'Auxiliar de Manutenção'!$F$55</definedName>
    <definedName name="MOD_2_ENCARGOS_BENEFICIOS" localSheetId="5">'Auxiliar de Manutenção-Estimado'!$F$36+'Auxiliar de Manutenção-Estimado'!$F$47+'Auxiliar de Manutenção-Estimado'!$F$55</definedName>
    <definedName name="MOD_2_ENCARGOS_BENEFICIOS" localSheetId="8">Eletrotécnico!$F$36+Eletrotécnico!$F$47+Eletrotécnico!$F$55</definedName>
    <definedName name="MOD_2_ENCARGOS_BENEFICIOS" localSheetId="7">'Eletrotécnico-Estimado'!$F$36+'Eletrotécnico-Estimado'!$F$47+'Eletrotécnico-Estimado'!$F$55</definedName>
    <definedName name="MOD_2_ENCARGOS_BENEFICIOS" localSheetId="4">'Oficial de Manutenção'!$F$36+'Oficial de Manutenção'!$F$47+'Oficial de Manutenção'!$F$55</definedName>
    <definedName name="MOD_2_ENCARGOS_BENEFICIOS" localSheetId="3">'Oficial de Manutenção-Estimado'!$F$36+'Oficial de Manutenção-Estimado'!$F$47+'Oficial de Manutenção-Estimado'!$F$55</definedName>
    <definedName name="MOD_3_PROVISAO_RESCISAO" localSheetId="6">'Auxiliar de Manutenção'!$F$61</definedName>
    <definedName name="MOD_3_PROVISAO_RESCISAO" localSheetId="5">'Auxiliar de Manutenção-Estimado'!$F$61</definedName>
    <definedName name="MOD_3_PROVISAO_RESCISAO" localSheetId="8">Eletrotécnico!$F$61</definedName>
    <definedName name="MOD_3_PROVISAO_RESCISAO" localSheetId="7">'Eletrotécnico-Estimado'!$F$61</definedName>
    <definedName name="MOD_3_PROVISAO_RESCISAO" localSheetId="4">'Oficial de Manutenção'!$F$61</definedName>
    <definedName name="MOD_3_PROVISAO_RESCISAO" localSheetId="3">'Oficial de Manutenção-Estimado'!$F$61</definedName>
    <definedName name="MOD_4_CUSTO_REPOSICAO" localSheetId="6">'Auxiliar de Manutenção'!$F$72+'Auxiliar de Manutenção'!$F$76</definedName>
    <definedName name="MOD_4_CUSTO_REPOSICAO" localSheetId="5">'Auxiliar de Manutenção-Estimado'!$F$72+'Auxiliar de Manutenção-Estimado'!$F$76</definedName>
    <definedName name="MOD_4_CUSTO_REPOSICAO" localSheetId="8">Eletrotécnico!$F$72+Eletrotécnico!$F$76</definedName>
    <definedName name="MOD_4_CUSTO_REPOSICAO" localSheetId="7">'Eletrotécnico-Estimado'!$F$72+'Eletrotécnico-Estimado'!$F$76</definedName>
    <definedName name="MOD_4_CUSTO_REPOSICAO" localSheetId="4">'Oficial de Manutenção'!$F$72+'Oficial de Manutenção'!$F$76</definedName>
    <definedName name="MOD_4_CUSTO_REPOSICAO" localSheetId="3">'Oficial de Manutenção-Estimado'!$F$72+'Oficial de Manutenção-Estimado'!$F$76</definedName>
    <definedName name="MOD_5_INSUMOS" localSheetId="6">'Auxiliar de Manutenção'!$F$84</definedName>
    <definedName name="MOD_5_INSUMOS" localSheetId="5">'Auxiliar de Manutenção-Estimado'!$F$84</definedName>
    <definedName name="MOD_5_INSUMOS" localSheetId="8">Eletrotécnico!$F$84</definedName>
    <definedName name="MOD_5_INSUMOS" localSheetId="7">'Eletrotécnico-Estimado'!$F$84</definedName>
    <definedName name="MOD_5_INSUMOS" localSheetId="4">'Oficial de Manutenção'!$F$84</definedName>
    <definedName name="MOD_5_INSUMOS" localSheetId="3">'Oficial de Manutenção-Estimado'!$F$84</definedName>
    <definedName name="MOD_6_CUSTOS_IND_LUCRO_TRIB" localSheetId="6">'Auxiliar de Manutenção'!$F$95</definedName>
    <definedName name="MOD_6_CUSTOS_IND_LUCRO_TRIB" localSheetId="5">'Auxiliar de Manutenção-Estimado'!$F$94</definedName>
    <definedName name="MOD_6_CUSTOS_IND_LUCRO_TRIB" localSheetId="8">Eletrotécnico!$F$95</definedName>
    <definedName name="MOD_6_CUSTOS_IND_LUCRO_TRIB" localSheetId="7">'Eletrotécnico-Estimado'!$F$94</definedName>
    <definedName name="MOD_6_CUSTOS_IND_LUCRO_TRIB" localSheetId="4">'Oficial de Manutenção'!$F$95</definedName>
    <definedName name="MOD_6_CUSTOS_IND_LUCRO_TRIB" localSheetId="3">'Oficial de Manutenção-Estimado'!$F$94</definedName>
    <definedName name="MODALIDADE_DE_LICITACAO" localSheetId="6">'[1]INSERÇÃO-DE-DADOS'!$D$7</definedName>
    <definedName name="MODALIDADE_DE_LICITACAO" localSheetId="5">'[1]INSERÇÃO-DE-DADOS'!$D$7</definedName>
    <definedName name="MODALIDADE_DE_LICITACAO" localSheetId="11">'[1]INSERÇÃO-DE-DADOS'!$D$7</definedName>
    <definedName name="MODALIDADE_DE_LICITACAO" localSheetId="8">'[1]INSERÇÃO-DE-DADOS'!$D$7</definedName>
    <definedName name="MODALIDADE_DE_LICITACAO" localSheetId="7">'[1]INSERÇÃO-DE-DADOS'!$D$7</definedName>
    <definedName name="MODALIDADE_DE_LICITACAO" localSheetId="12">'[1]INSERÇÃO-DE-DADOS'!$D$7</definedName>
    <definedName name="MODALIDADE_DE_LICITACAO" localSheetId="4">'[1]INSERÇÃO-DE-DADOS'!$D$7</definedName>
    <definedName name="MODALIDADE_DE_LICITACAO" localSheetId="3">'[1]INSERÇÃO-DE-DADOS'!$D$7</definedName>
    <definedName name="MODALIDADE_DE_LICITACAO" localSheetId="9">'[1]INSERÇÃO-DE-DADOS'!$D$7</definedName>
    <definedName name="MODALIDADE_DE_LICITACAO">'[4]INSERÇÃO-DE-DADOS'!$D$7</definedName>
    <definedName name="NUMERO_MESES_EXEC_CONTRATUAL">'[1]INSERÇÃO-DE-DADOS'!$F$15</definedName>
    <definedName name="NUMERO_PREGAO" localSheetId="6">'[1]INSERÇÃO-DE-DADOS'!$F$7</definedName>
    <definedName name="NUMERO_PREGAO" localSheetId="5">'[1]INSERÇÃO-DE-DADOS'!$F$7</definedName>
    <definedName name="NUMERO_PREGAO" localSheetId="11">'[1]INSERÇÃO-DE-DADOS'!$F$7</definedName>
    <definedName name="NUMERO_PREGAO" localSheetId="8">'[1]INSERÇÃO-DE-DADOS'!$F$7</definedName>
    <definedName name="NUMERO_PREGAO" localSheetId="7">'[1]INSERÇÃO-DE-DADOS'!$F$7</definedName>
    <definedName name="NUMERO_PREGAO" localSheetId="12">'[1]INSERÇÃO-DE-DADOS'!$F$7</definedName>
    <definedName name="NUMERO_PREGAO" localSheetId="4">'[1]INSERÇÃO-DE-DADOS'!$F$7</definedName>
    <definedName name="NUMERO_PREGAO" localSheetId="3">'[1]INSERÇÃO-DE-DADOS'!$F$7</definedName>
    <definedName name="NUMERO_PREGAO" localSheetId="9">'[1]INSERÇÃO-DE-DADOS'!$F$7</definedName>
    <definedName name="NUMERO_PREGAO">'[4]INSERÇÃO-DE-DADOS'!$F$7</definedName>
    <definedName name="NUMERO_PROCESSO" localSheetId="6">'[1]INSERÇÃO-DE-DADOS'!$D$6</definedName>
    <definedName name="NUMERO_PROCESSO" localSheetId="5">'[1]INSERÇÃO-DE-DADOS'!$D$6</definedName>
    <definedName name="NUMERO_PROCESSO" localSheetId="11">'[1]INSERÇÃO-DE-DADOS'!$D$6</definedName>
    <definedName name="NUMERO_PROCESSO" localSheetId="8">'[1]INSERÇÃO-DE-DADOS'!$D$6</definedName>
    <definedName name="NUMERO_PROCESSO" localSheetId="7">'[1]INSERÇÃO-DE-DADOS'!$D$6</definedName>
    <definedName name="NUMERO_PROCESSO" localSheetId="12">'[1]INSERÇÃO-DE-DADOS'!$D$6</definedName>
    <definedName name="NUMERO_PROCESSO" localSheetId="4">'[1]INSERÇÃO-DE-DADOS'!$D$6</definedName>
    <definedName name="NUMERO_PROCESSO" localSheetId="3">'[1]INSERÇÃO-DE-DADOS'!$D$6</definedName>
    <definedName name="NUMERO_PROCESSO" localSheetId="9">'[1]INSERÇÃO-DE-DADOS'!$D$6</definedName>
    <definedName name="NUMERO_PROCESSO">'[4]INSERÇÃO-DE-DADOS'!$D$6</definedName>
    <definedName name="OUTRAS_AUSENCIAS">'ENCARGOS-SOCIAIS-E-TRABALHISTAS'!$E$31</definedName>
    <definedName name="OUTRAS_AUSENCIAS_DESCRICAO">'[1]INSERÇÃO-DE-DADOS'!$C$51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REMUNERACAO_1">'[1]INSERÇÃO-DE-DADOS'!$F$34</definedName>
    <definedName name="OUTROS_REMUNERACAO_1_DESCRICAO">'[1]INSERÇÃO-DE-DADOS'!$C$34</definedName>
    <definedName name="OUTROS_REMUNERACAO_2">'[1]INSERÇÃO-DE-DADOS'!$F$35</definedName>
    <definedName name="OUTROS_REMUNERACAO_2_DESCRICAO">'[1]INSERÇÃO-DE-DADOS'!$C$35:$E$35</definedName>
    <definedName name="OUTROS_REMUNERACAO_3">'[1]INSERÇÃO-DE-DADOS'!$F$36</definedName>
    <definedName name="OUTROS_REMUNERACAO_3_DESCRICAO">'[1]INSERÇÃO-DE-DADOS'!$C$36:$E$36</definedName>
    <definedName name="PERC_ADIC_FERIAS" localSheetId="6">'[1]ENCARGOS-SOCIAIS-E-TRABALHISTAS'!$E$6</definedName>
    <definedName name="PERC_ADIC_FERIAS" localSheetId="5">'[2]ENCARGOS-SOCIAIS-E-TRABALHISTAS'!$E$6</definedName>
    <definedName name="PERC_ADIC_FERIAS" localSheetId="11">'[1]ENCARGOS-SOCIAIS-E-TRABALHISTAS'!$E$6</definedName>
    <definedName name="PERC_ADIC_FERIAS" localSheetId="8">'[1]ENCARGOS-SOCIAIS-E-TRABALHISTAS'!$E$6</definedName>
    <definedName name="PERC_ADIC_FERIAS" localSheetId="7">'[2]ENCARGOS-SOCIAIS-E-TRABALHISTAS'!$E$6</definedName>
    <definedName name="PERC_ADIC_FERIAS" localSheetId="4">'[1]ENCARGOS-SOCIAIS-E-TRABALHISTAS'!$E$6</definedName>
    <definedName name="PERC_ADIC_FERIAS" localSheetId="3">'[2]ENCARGOS-SOCIAIS-E-TRABALHISTAS'!$E$6</definedName>
    <definedName name="PERC_ADIC_FERIAS" localSheetId="9">'[1]ENCARGOS-SOCIAIS-E-TRABALHISTAS'!$E$6</definedName>
    <definedName name="PERC_ADIC_INS">'[1]INSERÇÃO-DE-DADOS'!$F$33</definedName>
    <definedName name="PERC_ADIC_NOT">'[1]INSERÇÃO-DE-DADOS'!$F$32</definedName>
    <definedName name="PERC_ADIC_PERIC">'[1]INSERÇÃO-DE-DADOS'!$F$31</definedName>
    <definedName name="PERC_AVISO_PREVIO_IND" localSheetId="6">'[1]ENCARGOS-SOCIAIS-E-TRABALHISTAS'!$E$20</definedName>
    <definedName name="PERC_AVISO_PREVIO_IND" localSheetId="5">'[2]ENCARGOS-SOCIAIS-E-TRABALHISTAS'!$E$20</definedName>
    <definedName name="PERC_AVISO_PREVIO_IND" localSheetId="11">'[1]ENCARGOS-SOCIAIS-E-TRABALHISTAS'!$E$20</definedName>
    <definedName name="PERC_AVISO_PREVIO_IND" localSheetId="8">'[1]ENCARGOS-SOCIAIS-E-TRABALHISTAS'!$E$20</definedName>
    <definedName name="PERC_AVISO_PREVIO_IND" localSheetId="7">'[2]ENCARGOS-SOCIAIS-E-TRABALHISTAS'!$E$20</definedName>
    <definedName name="PERC_AVISO_PREVIO_IND" localSheetId="4">'[1]ENCARGOS-SOCIAIS-E-TRABALHISTAS'!$E$20</definedName>
    <definedName name="PERC_AVISO_PREVIO_IND" localSheetId="3">'[2]ENCARGOS-SOCIAIS-E-TRABALHISTAS'!$E$20</definedName>
    <definedName name="PERC_AVISO_PREVIO_IND" localSheetId="9">'[1]ENCARGOS-SOCIAIS-E-TRABALHISTAS'!$E$20</definedName>
    <definedName name="PERC_AVISO_PREVIO_TRAB">'[1]ENCARGOS-SOCIAIS-E-TRABALHISTAS'!$E$21</definedName>
    <definedName name="PERC_COFINS">'[1]INSERÇÃO-DE-DADOS'!$F$70</definedName>
    <definedName name="PERC_CUSTOS_INDIRETOS">'[1]INSERÇÃO-DE-DADOS'!$F$67</definedName>
    <definedName name="PERC_DEC_TERC" localSheetId="6">'[1]ENCARGOS-SOCIAIS-E-TRABALHISTAS'!$E$5</definedName>
    <definedName name="PERC_DEC_TERC" localSheetId="5">'[2]ENCARGOS-SOCIAIS-E-TRABALHISTAS'!$E$5</definedName>
    <definedName name="PERC_DEC_TERC" localSheetId="11">'[1]ENCARGOS-SOCIAIS-E-TRABALHISTAS'!$E$5</definedName>
    <definedName name="PERC_DEC_TERC" localSheetId="8">'[1]ENCARGOS-SOCIAIS-E-TRABALHISTAS'!$E$5</definedName>
    <definedName name="PERC_DEC_TERC" localSheetId="7">'[2]ENCARGOS-SOCIAIS-E-TRABALHISTAS'!$E$5</definedName>
    <definedName name="PERC_DEC_TERC" localSheetId="4">'[1]ENCARGOS-SOCIAIS-E-TRABALHISTAS'!$E$5</definedName>
    <definedName name="PERC_DEC_TERC" localSheetId="3">'[2]ENCARGOS-SOCIAIS-E-TRABALHISTAS'!$E$5</definedName>
    <definedName name="PERC_DEC_TERC" localSheetId="9">'[1]ENCARGOS-SOCIAIS-E-TRABALHISTAS'!$E$5</definedName>
    <definedName name="PERC_DESC_TRANSP_REMUNERACAO" localSheetId="6">'[1]DADOS-ESTATISTICOS'!$F$14</definedName>
    <definedName name="PERC_DESC_TRANSP_REMUNERACAO" localSheetId="5">'[2]DADOS-ESTATISTICOS'!$F$14</definedName>
    <definedName name="PERC_DESC_TRANSP_REMUNERACAO" localSheetId="8">'[1]DADOS-ESTATISTICOS'!$F$14</definedName>
    <definedName name="PERC_DESC_TRANSP_REMUNERACAO" localSheetId="7">'[2]DADOS-ESTATISTICOS'!$F$14</definedName>
    <definedName name="PERC_DESC_TRANSP_REMUNERACAO" localSheetId="4">'[1]DADOS-ESTATISTICOS'!$F$14</definedName>
    <definedName name="PERC_DESC_TRANSP_REMUNERACAO" localSheetId="3">'[2]DADOS-ESTATISTICOS'!$F$14</definedName>
    <definedName name="PERC_DESC_TRANSP_REMUNERACAO" localSheetId="9">'[1]DADOS-ESTATISTICOS'!$F$14</definedName>
    <definedName name="PERC_DESC_TRANSP_REMUNERACAO">'DADOS-ESTATISTICOS'!$F$14</definedName>
    <definedName name="PERC_EMPREG_AFAST_TRAB" localSheetId="6">'[1]DADOS-ESTATISTICOS'!$F$31</definedName>
    <definedName name="PERC_EMPREG_AFAST_TRAB" localSheetId="5">'[2]DADOS-ESTATISTICOS'!$F$31</definedName>
    <definedName name="PERC_EMPREG_AFAST_TRAB" localSheetId="2">'[3]DADOS-ESTATISTICOS'!$F$31</definedName>
    <definedName name="PERC_EMPREG_AFAST_TRAB" localSheetId="8">'[1]DADOS-ESTATISTICOS'!$F$31</definedName>
    <definedName name="PERC_EMPREG_AFAST_TRAB" localSheetId="7">'[2]DADOS-ESTATISTICOS'!$F$31</definedName>
    <definedName name="PERC_EMPREG_AFAST_TRAB" localSheetId="12">'[3]DADOS-ESTATISTICOS'!$F$31</definedName>
    <definedName name="PERC_EMPREG_AFAST_TRAB" localSheetId="0">'[3]DADOS-ESTATISTICOS'!$F$31</definedName>
    <definedName name="PERC_EMPREG_AFAST_TRAB" localSheetId="4">'[1]DADOS-ESTATISTICOS'!$F$31</definedName>
    <definedName name="PERC_EMPREG_AFAST_TRAB" localSheetId="3">'[2]DADOS-ESTATISTICOS'!$F$31</definedName>
    <definedName name="PERC_EMPREG_AFAST_TRAB" localSheetId="9">'[1]DADOS-ESTATISTICOS'!$F$31</definedName>
    <definedName name="PERC_EMPREG_AFAST_TRAB">'DADOS-ESTATISTICOS'!$F$31</definedName>
    <definedName name="PERC_EMPREG_AVISO_PREVIO_IND" localSheetId="6">'[1]DADOS-ESTATISTICOS'!$F$19</definedName>
    <definedName name="PERC_EMPREG_AVISO_PREVIO_IND" localSheetId="5">'[2]DADOS-ESTATISTICOS'!$F$19</definedName>
    <definedName name="PERC_EMPREG_AVISO_PREVIO_IND" localSheetId="2">'[3]DADOS-ESTATISTICOS'!$F$19</definedName>
    <definedName name="PERC_EMPREG_AVISO_PREVIO_IND" localSheetId="8">'[1]DADOS-ESTATISTICOS'!$F$19</definedName>
    <definedName name="PERC_EMPREG_AVISO_PREVIO_IND" localSheetId="7">'[2]DADOS-ESTATISTICOS'!$F$19</definedName>
    <definedName name="PERC_EMPREG_AVISO_PREVIO_IND" localSheetId="12">'[3]DADOS-ESTATISTICOS'!$F$19</definedName>
    <definedName name="PERC_EMPREG_AVISO_PREVIO_IND" localSheetId="0">'[3]DADOS-ESTATISTICOS'!$F$19</definedName>
    <definedName name="PERC_EMPREG_AVISO_PREVIO_IND" localSheetId="4">'[1]DADOS-ESTATISTICOS'!$F$19</definedName>
    <definedName name="PERC_EMPREG_AVISO_PREVIO_IND" localSheetId="3">'[2]DADOS-ESTATISTICOS'!$F$19</definedName>
    <definedName name="PERC_EMPREG_AVISO_PREVIO_IND" localSheetId="9">'[1]DADOS-ESTATISTICOS'!$F$19</definedName>
    <definedName name="PERC_EMPREG_AVISO_PREVIO_IND">'DADOS-ESTATISTICOS'!$F$19</definedName>
    <definedName name="PERC_EMPREG_AVISO_PREVIO_TRAB" localSheetId="6">'[1]DADOS-ESTATISTICOS'!$F$21</definedName>
    <definedName name="PERC_EMPREG_AVISO_PREVIO_TRAB" localSheetId="5">'[2]DADOS-ESTATISTICOS'!$F$21</definedName>
    <definedName name="PERC_EMPREG_AVISO_PREVIO_TRAB" localSheetId="2">'[3]DADOS-ESTATISTICOS'!$F$21</definedName>
    <definedName name="PERC_EMPREG_AVISO_PREVIO_TRAB" localSheetId="8">'[1]DADOS-ESTATISTICOS'!$F$21</definedName>
    <definedName name="PERC_EMPREG_AVISO_PREVIO_TRAB" localSheetId="7">'[2]DADOS-ESTATISTICOS'!$F$21</definedName>
    <definedName name="PERC_EMPREG_AVISO_PREVIO_TRAB" localSheetId="12">'[3]DADOS-ESTATISTICOS'!$F$21</definedName>
    <definedName name="PERC_EMPREG_AVISO_PREVIO_TRAB" localSheetId="0">'[3]DADOS-ESTATISTICOS'!$F$21</definedName>
    <definedName name="PERC_EMPREG_AVISO_PREVIO_TRAB" localSheetId="4">'[1]DADOS-ESTATISTICOS'!$F$21</definedName>
    <definedName name="PERC_EMPREG_AVISO_PREVIO_TRAB" localSheetId="3">'[2]DADOS-ESTATISTICOS'!$F$21</definedName>
    <definedName name="PERC_EMPREG_AVISO_PREVIO_TRAB" localSheetId="9">'[1]DADOS-ESTATISTICOS'!$F$21</definedName>
    <definedName name="PERC_EMPREG_AVISO_PREVIO_TRAB">'DADOS-ESTATISTICOS'!$F$21</definedName>
    <definedName name="PERC_EMPREG_DEMIT_SEM_JUSTA_CAUSA_TOTAL_DESLIG" localSheetId="6">'[1]DADOS-ESTATISTICOS'!$F$18</definedName>
    <definedName name="PERC_EMPREG_DEMIT_SEM_JUSTA_CAUSA_TOTAL_DESLIG" localSheetId="5">'[2]DADOS-ESTATISTICOS'!$F$18</definedName>
    <definedName name="PERC_EMPREG_DEMIT_SEM_JUSTA_CAUSA_TOTAL_DESLIG" localSheetId="2">'[3]DADOS-ESTATISTICOS'!$F$18</definedName>
    <definedName name="PERC_EMPREG_DEMIT_SEM_JUSTA_CAUSA_TOTAL_DESLIG" localSheetId="8">'[1]DADOS-ESTATISTICOS'!$F$18</definedName>
    <definedName name="PERC_EMPREG_DEMIT_SEM_JUSTA_CAUSA_TOTAL_DESLIG" localSheetId="7">'[2]DADOS-ESTATISTICOS'!$F$18</definedName>
    <definedName name="PERC_EMPREG_DEMIT_SEM_JUSTA_CAUSA_TOTAL_DESLIG" localSheetId="12">'[3]DADOS-ESTATISTICOS'!$F$18</definedName>
    <definedName name="PERC_EMPREG_DEMIT_SEM_JUSTA_CAUSA_TOTAL_DESLIG" localSheetId="0">'[3]DADOS-ESTATISTICOS'!$F$18</definedName>
    <definedName name="PERC_EMPREG_DEMIT_SEM_JUSTA_CAUSA_TOTAL_DESLIG" localSheetId="4">'[1]DADOS-ESTATISTICOS'!$F$18</definedName>
    <definedName name="PERC_EMPREG_DEMIT_SEM_JUSTA_CAUSA_TOTAL_DESLIG" localSheetId="3">'[2]DADOS-ESTATISTICOS'!$F$18</definedName>
    <definedName name="PERC_EMPREG_DEMIT_SEM_JUSTA_CAUSA_TOTAL_DESLIG" localSheetId="9">'[1]DADOS-ESTATISTICOS'!$F$18</definedName>
    <definedName name="PERC_EMPREG_DEMIT_SEM_JUSTA_CAUSA_TOTAL_DESLIG">'DADOS-ESTATISTICOS'!$F$18</definedName>
    <definedName name="PERC_FGTS">'[1]ENCARGOS-SOCIAIS-E-TRABALHISTAS'!$E$16</definedName>
    <definedName name="PERC_GPS_FGTS">'[1]ENCARGOS-SOCIAIS-E-TRABALHISTAS'!$E$17</definedName>
    <definedName name="PERC_HORA_EXTRA">'[1]INSERÇÃO-DE-DADOS'!$F$55</definedName>
    <definedName name="PERC_INCRA" localSheetId="6">'[1]ENCARGOS-SOCIAIS-E-TRABALHISTAS'!$E$15</definedName>
    <definedName name="PERC_INCRA" localSheetId="5">'[2]ENCARGOS-SOCIAIS-E-TRABALHISTAS'!$E$15</definedName>
    <definedName name="PERC_INCRA" localSheetId="11">'[1]ENCARGOS-SOCIAIS-E-TRABALHISTAS'!$E$15</definedName>
    <definedName name="PERC_INCRA" localSheetId="8">'[1]ENCARGOS-SOCIAIS-E-TRABALHISTAS'!$E$15</definedName>
    <definedName name="PERC_INCRA" localSheetId="7">'[2]ENCARGOS-SOCIAIS-E-TRABALHISTAS'!$E$15</definedName>
    <definedName name="PERC_INCRA" localSheetId="4">'[1]ENCARGOS-SOCIAIS-E-TRABALHISTAS'!$E$15</definedName>
    <definedName name="PERC_INCRA" localSheetId="3">'[2]ENCARGOS-SOCIAIS-E-TRABALHISTAS'!$E$15</definedName>
    <definedName name="PERC_INCRA" localSheetId="9">'[1]ENCARGOS-SOCIAIS-E-TRABALHISTAS'!$E$15</definedName>
    <definedName name="PERC_INSS" localSheetId="6">'[1]ENCARGOS-SOCIAIS-E-TRABALHISTAS'!$E$9</definedName>
    <definedName name="PERC_INSS" localSheetId="5">'[2]ENCARGOS-SOCIAIS-E-TRABALHISTAS'!$E$9</definedName>
    <definedName name="PERC_INSS" localSheetId="11">'[1]ENCARGOS-SOCIAIS-E-TRABALHISTAS'!$E$9</definedName>
    <definedName name="PERC_INSS" localSheetId="8">'[1]ENCARGOS-SOCIAIS-E-TRABALHISTAS'!$E$9</definedName>
    <definedName name="PERC_INSS" localSheetId="7">'[2]ENCARGOS-SOCIAIS-E-TRABALHISTAS'!$E$9</definedName>
    <definedName name="PERC_INSS" localSheetId="4">'[1]ENCARGOS-SOCIAIS-E-TRABALHISTAS'!$E$9</definedName>
    <definedName name="PERC_INSS" localSheetId="3">'[2]ENCARGOS-SOCIAIS-E-TRABALHISTAS'!$E$9</definedName>
    <definedName name="PERC_INSS" localSheetId="9">'[1]ENCARGOS-SOCIAIS-E-TRABALHISTAS'!$E$9</definedName>
    <definedName name="PERC_ISS">'[1]INSERÇÃO-DE-DADOS'!$F$71</definedName>
    <definedName name="PERC_LUCRO">'[1]INSERÇÃO-DE-DADOS'!$F$68</definedName>
    <definedName name="PERC_MOD_3_PROVISAO_RESCISAO" localSheetId="6">'Auxiliar de Manutenção'!$E$61</definedName>
    <definedName name="PERC_MOD_3_PROVISAO_RESCISAO" localSheetId="5">'Auxiliar de Manutenção-Estimado'!$E$61</definedName>
    <definedName name="PERC_MOD_3_PROVISAO_RESCISAO" localSheetId="8">Eletrotécnico!$E$61</definedName>
    <definedName name="PERC_MOD_3_PROVISAO_RESCISAO" localSheetId="7">'Eletrotécnico-Estimado'!$E$61</definedName>
    <definedName name="PERC_MOD_3_PROVISAO_RESCISAO" localSheetId="4">'Oficial de Manutenção'!$E$61</definedName>
    <definedName name="PERC_MOD_3_PROVISAO_RESCISAO" localSheetId="3">'Oficial de Manutenção-Estimado'!$E$61</definedName>
    <definedName name="PERC_MULTA_FGTS" localSheetId="6">'[1]DADOS-ESTATISTICOS'!$F$20</definedName>
    <definedName name="PERC_MULTA_FGTS" localSheetId="5">'[2]DADOS-ESTATISTICOS'!$F$20</definedName>
    <definedName name="PERC_MULTA_FGTS" localSheetId="2">'[3]DADOS-ESTATISTICOS'!$F$20</definedName>
    <definedName name="PERC_MULTA_FGTS" localSheetId="8">'[1]DADOS-ESTATISTICOS'!$F$20</definedName>
    <definedName name="PERC_MULTA_FGTS" localSheetId="7">'[2]DADOS-ESTATISTICOS'!$F$20</definedName>
    <definedName name="PERC_MULTA_FGTS" localSheetId="12">'[3]DADOS-ESTATISTICOS'!$F$20</definedName>
    <definedName name="PERC_MULTA_FGTS" localSheetId="0">'[3]DADOS-ESTATISTICOS'!$F$20</definedName>
    <definedName name="PERC_MULTA_FGTS" localSheetId="4">'[1]DADOS-ESTATISTICOS'!$F$20</definedName>
    <definedName name="PERC_MULTA_FGTS" localSheetId="3">'[2]DADOS-ESTATISTICOS'!$F$20</definedName>
    <definedName name="PERC_MULTA_FGTS" localSheetId="9">'[1]DADOS-ESTATISTICOS'!$F$20</definedName>
    <definedName name="PERC_MULTA_FGTS">'DADOS-ESTATISTICOS'!$F$20</definedName>
    <definedName name="PERC_MULTA_FGTS_AV_PREV_TRAB" localSheetId="6">'[1]ENCARGOS-SOCIAIS-E-TRABALHISTAS'!$E$22</definedName>
    <definedName name="PERC_MULTA_FGTS_AV_PREV_TRAB" localSheetId="5">'[2]ENCARGOS-SOCIAIS-E-TRABALHISTAS'!$E$22</definedName>
    <definedName name="PERC_MULTA_FGTS_AV_PREV_TRAB" localSheetId="11">'[1]ENCARGOS-SOCIAIS-E-TRABALHISTAS'!$E$22</definedName>
    <definedName name="PERC_MULTA_FGTS_AV_PREV_TRAB" localSheetId="8">'[1]ENCARGOS-SOCIAIS-E-TRABALHISTAS'!$E$22</definedName>
    <definedName name="PERC_MULTA_FGTS_AV_PREV_TRAB" localSheetId="7">'[2]ENCARGOS-SOCIAIS-E-TRABALHISTAS'!$E$22</definedName>
    <definedName name="PERC_MULTA_FGTS_AV_PREV_TRAB" localSheetId="4">'[1]ENCARGOS-SOCIAIS-E-TRABALHISTAS'!$E$22</definedName>
    <definedName name="PERC_MULTA_FGTS_AV_PREV_TRAB" localSheetId="3">'[2]ENCARGOS-SOCIAIS-E-TRABALHISTAS'!$E$22</definedName>
    <definedName name="PERC_MULTA_FGTS_AV_PREV_TRAB" localSheetId="9">'[1]ENCARGOS-SOCIAIS-E-TRABALHISTAS'!$E$22</definedName>
    <definedName name="PERC_NASCIDOS_VIVOS_POPUL_FEM" localSheetId="6">'[1]DADOS-ESTATISTICOS'!$F$29</definedName>
    <definedName name="PERC_NASCIDOS_VIVOS_POPUL_FEM" localSheetId="5">'[2]DADOS-ESTATISTICOS'!$F$29</definedName>
    <definedName name="PERC_NASCIDOS_VIVOS_POPUL_FEM" localSheetId="2">'[3]DADOS-ESTATISTICOS'!$F$29</definedName>
    <definedName name="PERC_NASCIDOS_VIVOS_POPUL_FEM" localSheetId="8">'[1]DADOS-ESTATISTICOS'!$F$29</definedName>
    <definedName name="PERC_NASCIDOS_VIVOS_POPUL_FEM" localSheetId="7">'[2]DADOS-ESTATISTICOS'!$F$29</definedName>
    <definedName name="PERC_NASCIDOS_VIVOS_POPUL_FEM" localSheetId="12">'[3]DADOS-ESTATISTICOS'!$F$29</definedName>
    <definedName name="PERC_NASCIDOS_VIVOS_POPUL_FEM" localSheetId="0">'[3]DADOS-ESTATISTICOS'!$F$29</definedName>
    <definedName name="PERC_NASCIDOS_VIVOS_POPUL_FEM" localSheetId="4">'[1]DADOS-ESTATISTICOS'!$F$29</definedName>
    <definedName name="PERC_NASCIDOS_VIVOS_POPUL_FEM" localSheetId="3">'[2]DADOS-ESTATISTICOS'!$F$29</definedName>
    <definedName name="PERC_NASCIDOS_VIVOS_POPUL_FEM" localSheetId="9">'[1]DADOS-ESTATISTICOS'!$F$29</definedName>
    <definedName name="PERC_NASCIDOS_VIVOS_POPUL_FEM">'DADOS-ESTATISTICOS'!$F$29</definedName>
    <definedName name="PERC_PARTIC_FEM_VIGIL" localSheetId="6">'[1]DADOS-ESTATISTICOS'!$F$34</definedName>
    <definedName name="PERC_PARTIC_FEM_VIGIL" localSheetId="5">'[2]DADOS-ESTATISTICOS'!$F$34</definedName>
    <definedName name="PERC_PARTIC_FEM_VIGIL" localSheetId="2">'[3]DADOS-ESTATISTICOS'!$F$34</definedName>
    <definedName name="PERC_PARTIC_FEM_VIGIL" localSheetId="8">'[1]DADOS-ESTATISTICOS'!$F$34</definedName>
    <definedName name="PERC_PARTIC_FEM_VIGIL" localSheetId="7">'[2]DADOS-ESTATISTICOS'!$F$34</definedName>
    <definedName name="PERC_PARTIC_FEM_VIGIL" localSheetId="12">'[3]DADOS-ESTATISTICOS'!$F$34</definedName>
    <definedName name="PERC_PARTIC_FEM_VIGIL" localSheetId="0">'[3]DADOS-ESTATISTICOS'!$F$34</definedName>
    <definedName name="PERC_PARTIC_FEM_VIGIL" localSheetId="4">'[1]DADOS-ESTATISTICOS'!$F$34</definedName>
    <definedName name="PERC_PARTIC_FEM_VIGIL" localSheetId="3">'[2]DADOS-ESTATISTICOS'!$F$34</definedName>
    <definedName name="PERC_PARTIC_FEM_VIGIL" localSheetId="9">'[1]DADOS-ESTATISTICOS'!$F$34</definedName>
    <definedName name="PERC_PARTIC_FEM_VIGIL">'DADOS-ESTATISTICOS'!$F$34</definedName>
    <definedName name="PERC_PARTIC_MASC_VIGIL" localSheetId="6">'[1]DADOS-ESTATISTICOS'!$F$30</definedName>
    <definedName name="PERC_PARTIC_MASC_VIGIL" localSheetId="5">'[2]DADOS-ESTATISTICOS'!$F$30</definedName>
    <definedName name="PERC_PARTIC_MASC_VIGIL" localSheetId="2">'[3]DADOS-ESTATISTICOS'!$F$30</definedName>
    <definedName name="PERC_PARTIC_MASC_VIGIL" localSheetId="8">'[1]DADOS-ESTATISTICOS'!$F$30</definedName>
    <definedName name="PERC_PARTIC_MASC_VIGIL" localSheetId="7">'[2]DADOS-ESTATISTICOS'!$F$30</definedName>
    <definedName name="PERC_PARTIC_MASC_VIGIL" localSheetId="12">'[3]DADOS-ESTATISTICOS'!$F$30</definedName>
    <definedName name="PERC_PARTIC_MASC_VIGIL" localSheetId="0">'[3]DADOS-ESTATISTICOS'!$F$30</definedName>
    <definedName name="PERC_PARTIC_MASC_VIGIL" localSheetId="4">'[1]DADOS-ESTATISTICOS'!$F$30</definedName>
    <definedName name="PERC_PARTIC_MASC_VIGIL" localSheetId="3">'[2]DADOS-ESTATISTICOS'!$F$30</definedName>
    <definedName name="PERC_PARTIC_MASC_VIGIL" localSheetId="9">'[1]DADOS-ESTATISTICOS'!$F$30</definedName>
    <definedName name="PERC_PARTIC_MASC_VIGIL">'DADOS-ESTATISTICOS'!$F$30</definedName>
    <definedName name="PERC_PIS">'[1]INSERÇÃO-DE-DADOS'!$F$69</definedName>
    <definedName name="PERC_RAT" localSheetId="6">'[1]ENCARGOS-SOCIAIS-E-TRABALHISTAS'!$E$11</definedName>
    <definedName name="PERC_RAT" localSheetId="5">'[2]ENCARGOS-SOCIAIS-E-TRABALHISTAS'!$E$11</definedName>
    <definedName name="PERC_RAT" localSheetId="11">'[1]ENCARGOS-SOCIAIS-E-TRABALHISTAS'!$E$11</definedName>
    <definedName name="PERC_RAT" localSheetId="8">'[1]ENCARGOS-SOCIAIS-E-TRABALHISTAS'!$E$11</definedName>
    <definedName name="PERC_RAT" localSheetId="7">'[2]ENCARGOS-SOCIAIS-E-TRABALHISTAS'!$E$11</definedName>
    <definedName name="PERC_RAT" localSheetId="4">'[1]ENCARGOS-SOCIAIS-E-TRABALHISTAS'!$E$11</definedName>
    <definedName name="PERC_RAT" localSheetId="3">'[2]ENCARGOS-SOCIAIS-E-TRABALHISTAS'!$E$11</definedName>
    <definedName name="PERC_RAT" localSheetId="9">'[1]ENCARGOS-SOCIAIS-E-TRABALHISTAS'!$E$11</definedName>
    <definedName name="PERC_SAL_EDUCACAO" localSheetId="6">'[1]ENCARGOS-SOCIAIS-E-TRABALHISTAS'!$E$10</definedName>
    <definedName name="PERC_SAL_EDUCACAO" localSheetId="5">'[2]ENCARGOS-SOCIAIS-E-TRABALHISTAS'!$E$10</definedName>
    <definedName name="PERC_SAL_EDUCACAO" localSheetId="11">'[1]ENCARGOS-SOCIAIS-E-TRABALHISTAS'!$E$10</definedName>
    <definedName name="PERC_SAL_EDUCACAO" localSheetId="8">'[1]ENCARGOS-SOCIAIS-E-TRABALHISTAS'!$E$10</definedName>
    <definedName name="PERC_SAL_EDUCACAO" localSheetId="7">'[2]ENCARGOS-SOCIAIS-E-TRABALHISTAS'!$E$10</definedName>
    <definedName name="PERC_SAL_EDUCACAO" localSheetId="4">'[1]ENCARGOS-SOCIAIS-E-TRABALHISTAS'!$E$10</definedName>
    <definedName name="PERC_SAL_EDUCACAO" localSheetId="3">'[2]ENCARGOS-SOCIAIS-E-TRABALHISTAS'!$E$10</definedName>
    <definedName name="PERC_SAL_EDUCACAO" localSheetId="9">'[1]ENCARGOS-SOCIAIS-E-TRABALHISTAS'!$E$10</definedName>
    <definedName name="PERC_SEBRAE" localSheetId="6">'[1]ENCARGOS-SOCIAIS-E-TRABALHISTAS'!$E$14</definedName>
    <definedName name="PERC_SEBRAE" localSheetId="5">'[2]ENCARGOS-SOCIAIS-E-TRABALHISTAS'!$E$14</definedName>
    <definedName name="PERC_SEBRAE" localSheetId="11">'[1]ENCARGOS-SOCIAIS-E-TRABALHISTAS'!$E$14</definedName>
    <definedName name="PERC_SEBRAE" localSheetId="8">'[1]ENCARGOS-SOCIAIS-E-TRABALHISTAS'!$E$14</definedName>
    <definedName name="PERC_SEBRAE" localSheetId="7">'[2]ENCARGOS-SOCIAIS-E-TRABALHISTAS'!$E$14</definedName>
    <definedName name="PERC_SEBRAE" localSheetId="4">'[1]ENCARGOS-SOCIAIS-E-TRABALHISTAS'!$E$14</definedName>
    <definedName name="PERC_SEBRAE" localSheetId="3">'[2]ENCARGOS-SOCIAIS-E-TRABALHISTAS'!$E$14</definedName>
    <definedName name="PERC_SEBRAE" localSheetId="9">'[1]ENCARGOS-SOCIAIS-E-TRABALHISTAS'!$E$14</definedName>
    <definedName name="PERC_SENAC" localSheetId="6">'[1]ENCARGOS-SOCIAIS-E-TRABALHISTAS'!$E$13</definedName>
    <definedName name="PERC_SENAC" localSheetId="5">'[2]ENCARGOS-SOCIAIS-E-TRABALHISTAS'!$E$13</definedName>
    <definedName name="PERC_SENAC" localSheetId="11">'[1]ENCARGOS-SOCIAIS-E-TRABALHISTAS'!$E$13</definedName>
    <definedName name="PERC_SENAC" localSheetId="8">'[1]ENCARGOS-SOCIAIS-E-TRABALHISTAS'!$E$13</definedName>
    <definedName name="PERC_SENAC" localSheetId="7">'[2]ENCARGOS-SOCIAIS-E-TRABALHISTAS'!$E$13</definedName>
    <definedName name="PERC_SENAC" localSheetId="4">'[1]ENCARGOS-SOCIAIS-E-TRABALHISTAS'!$E$13</definedName>
    <definedName name="PERC_SENAC" localSheetId="3">'[2]ENCARGOS-SOCIAIS-E-TRABALHISTAS'!$E$13</definedName>
    <definedName name="PERC_SENAC" localSheetId="9">'[1]ENCARGOS-SOCIAIS-E-TRABALHISTAS'!$E$13</definedName>
    <definedName name="PERC_SESC" localSheetId="6">'[1]ENCARGOS-SOCIAIS-E-TRABALHISTAS'!$E$12</definedName>
    <definedName name="PERC_SESC" localSheetId="5">'[2]ENCARGOS-SOCIAIS-E-TRABALHISTAS'!$E$12</definedName>
    <definedName name="PERC_SESC" localSheetId="11">'[1]ENCARGOS-SOCIAIS-E-TRABALHISTAS'!$E$12</definedName>
    <definedName name="PERC_SESC" localSheetId="8">'[1]ENCARGOS-SOCIAIS-E-TRABALHISTAS'!$E$12</definedName>
    <definedName name="PERC_SESC" localSheetId="7">'[2]ENCARGOS-SOCIAIS-E-TRABALHISTAS'!$E$12</definedName>
    <definedName name="PERC_SESC" localSheetId="4">'[1]ENCARGOS-SOCIAIS-E-TRABALHISTAS'!$E$12</definedName>
    <definedName name="PERC_SESC" localSheetId="3">'[2]ENCARGOS-SOCIAIS-E-TRABALHISTAS'!$E$12</definedName>
    <definedName name="PERC_SESC" localSheetId="9">'[1]ENCARGOS-SOCIAIS-E-TRABALHISTAS'!$E$12</definedName>
    <definedName name="PERC_SUBSTITUTO_ACID_TRAB" localSheetId="6">'[1]ENCARGOS-SOCIAIS-E-TRABALHISTAS'!$E$29</definedName>
    <definedName name="PERC_SUBSTITUTO_ACID_TRAB" localSheetId="5">'[2]ENCARGOS-SOCIAIS-E-TRABALHISTAS'!$E$29</definedName>
    <definedName name="PERC_SUBSTITUTO_ACID_TRAB" localSheetId="11">'[1]ENCARGOS-SOCIAIS-E-TRABALHISTAS'!$E$29</definedName>
    <definedName name="PERC_SUBSTITUTO_ACID_TRAB" localSheetId="8">'[1]ENCARGOS-SOCIAIS-E-TRABALHISTAS'!$E$29</definedName>
    <definedName name="PERC_SUBSTITUTO_ACID_TRAB" localSheetId="7">'[2]ENCARGOS-SOCIAIS-E-TRABALHISTAS'!$E$29</definedName>
    <definedName name="PERC_SUBSTITUTO_ACID_TRAB" localSheetId="4">'[1]ENCARGOS-SOCIAIS-E-TRABALHISTAS'!$E$29</definedName>
    <definedName name="PERC_SUBSTITUTO_ACID_TRAB" localSheetId="3">'[2]ENCARGOS-SOCIAIS-E-TRABALHISTAS'!$E$29</definedName>
    <definedName name="PERC_SUBSTITUTO_ACID_TRAB" localSheetId="9">'[1]ENCARGOS-SOCIAIS-E-TRABALHISTAS'!$E$29</definedName>
    <definedName name="PERC_SUBSTITUTO_AFAST_MATERN" localSheetId="6">'[1]ENCARGOS-SOCIAIS-E-TRABALHISTAS'!$E$30</definedName>
    <definedName name="PERC_SUBSTITUTO_AFAST_MATERN" localSheetId="5">'[2]ENCARGOS-SOCIAIS-E-TRABALHISTAS'!$E$30</definedName>
    <definedName name="PERC_SUBSTITUTO_AFAST_MATERN" localSheetId="11">'[1]ENCARGOS-SOCIAIS-E-TRABALHISTAS'!$E$30</definedName>
    <definedName name="PERC_SUBSTITUTO_AFAST_MATERN" localSheetId="8">'[1]ENCARGOS-SOCIAIS-E-TRABALHISTAS'!$E$30</definedName>
    <definedName name="PERC_SUBSTITUTO_AFAST_MATERN" localSheetId="7">'[2]ENCARGOS-SOCIAIS-E-TRABALHISTAS'!$E$30</definedName>
    <definedName name="PERC_SUBSTITUTO_AFAST_MATERN" localSheetId="4">'[1]ENCARGOS-SOCIAIS-E-TRABALHISTAS'!$E$30</definedName>
    <definedName name="PERC_SUBSTITUTO_AFAST_MATERN" localSheetId="3">'[2]ENCARGOS-SOCIAIS-E-TRABALHISTAS'!$E$30</definedName>
    <definedName name="PERC_SUBSTITUTO_AFAST_MATERN" localSheetId="9">'[1]ENCARGOS-SOCIAIS-E-TRABALHISTAS'!$E$30</definedName>
    <definedName name="PERC_SUBSTITUTO_AUSENCIAS_LEGAIS" localSheetId="6">'[1]ENCARGOS-SOCIAIS-E-TRABALHISTAS'!$E$27</definedName>
    <definedName name="PERC_SUBSTITUTO_AUSENCIAS_LEGAIS" localSheetId="5">'[2]ENCARGOS-SOCIAIS-E-TRABALHISTAS'!$E$27</definedName>
    <definedName name="PERC_SUBSTITUTO_AUSENCIAS_LEGAIS" localSheetId="11">'[1]ENCARGOS-SOCIAIS-E-TRABALHISTAS'!$E$27</definedName>
    <definedName name="PERC_SUBSTITUTO_AUSENCIAS_LEGAIS" localSheetId="8">'[1]ENCARGOS-SOCIAIS-E-TRABALHISTAS'!$E$27</definedName>
    <definedName name="PERC_SUBSTITUTO_AUSENCIAS_LEGAIS" localSheetId="7">'[2]ENCARGOS-SOCIAIS-E-TRABALHISTAS'!$E$27</definedName>
    <definedName name="PERC_SUBSTITUTO_AUSENCIAS_LEGAIS" localSheetId="4">'[1]ENCARGOS-SOCIAIS-E-TRABALHISTAS'!$E$27</definedName>
    <definedName name="PERC_SUBSTITUTO_AUSENCIAS_LEGAIS" localSheetId="3">'[2]ENCARGOS-SOCIAIS-E-TRABALHISTAS'!$E$27</definedName>
    <definedName name="PERC_SUBSTITUTO_AUSENCIAS_LEGAIS" localSheetId="9">'[1]ENCARGOS-SOCIAIS-E-TRABALHISTAS'!$E$27</definedName>
    <definedName name="PERC_SUBSTITUTO_FERIAS" localSheetId="6">'[1]ENCARGOS-SOCIAIS-E-TRABALHISTAS'!$E$26</definedName>
    <definedName name="PERC_SUBSTITUTO_FERIAS" localSheetId="5">'[2]ENCARGOS-SOCIAIS-E-TRABALHISTAS'!$E$26</definedName>
    <definedName name="PERC_SUBSTITUTO_FERIAS" localSheetId="11">'[1]ENCARGOS-SOCIAIS-E-TRABALHISTAS'!$E$26</definedName>
    <definedName name="PERC_SUBSTITUTO_FERIAS" localSheetId="8">'[1]ENCARGOS-SOCIAIS-E-TRABALHISTAS'!$E$26</definedName>
    <definedName name="PERC_SUBSTITUTO_FERIAS" localSheetId="7">'[2]ENCARGOS-SOCIAIS-E-TRABALHISTAS'!$E$26</definedName>
    <definedName name="PERC_SUBSTITUTO_FERIAS" localSheetId="4">'[1]ENCARGOS-SOCIAIS-E-TRABALHISTAS'!$E$26</definedName>
    <definedName name="PERC_SUBSTITUTO_FERIAS" localSheetId="3">'[2]ENCARGOS-SOCIAIS-E-TRABALHISTAS'!$E$26</definedName>
    <definedName name="PERC_SUBSTITUTO_FERIAS" localSheetId="9">'[1]ENCARGOS-SOCIAIS-E-TRABALHISTAS'!$E$26</definedName>
    <definedName name="PERC_SUBSTITUTO_LICENCA_PATERNIDADE" localSheetId="6">'[1]ENCARGOS-SOCIAIS-E-TRABALHISTAS'!$E$28</definedName>
    <definedName name="PERC_SUBSTITUTO_LICENCA_PATERNIDADE" localSheetId="5">'[2]ENCARGOS-SOCIAIS-E-TRABALHISTAS'!$E$28</definedName>
    <definedName name="PERC_SUBSTITUTO_LICENCA_PATERNIDADE" localSheetId="11">'[1]ENCARGOS-SOCIAIS-E-TRABALHISTAS'!$E$28</definedName>
    <definedName name="PERC_SUBSTITUTO_LICENCA_PATERNIDADE" localSheetId="8">'[1]ENCARGOS-SOCIAIS-E-TRABALHISTAS'!$E$28</definedName>
    <definedName name="PERC_SUBSTITUTO_LICENCA_PATERNIDADE" localSheetId="7">'[2]ENCARGOS-SOCIAIS-E-TRABALHISTAS'!$E$28</definedName>
    <definedName name="PERC_SUBSTITUTO_LICENCA_PATERNIDADE" localSheetId="4">'[1]ENCARGOS-SOCIAIS-E-TRABALHISTAS'!$E$28</definedName>
    <definedName name="PERC_SUBSTITUTO_LICENCA_PATERNIDADE" localSheetId="3">'[2]ENCARGOS-SOCIAIS-E-TRABALHISTAS'!$E$28</definedName>
    <definedName name="PERC_SUBSTITUTO_LICENCA_PATERNIDADE" localSheetId="9">'[1]ENCARGOS-SOCIAIS-E-TRABALHISTAS'!$E$28</definedName>
    <definedName name="PERC_SUBSTITUTO_OUTRAS_AUSENCIAS">'[1]INSERÇÃO-DE-DADOS'!$F$51</definedName>
    <definedName name="PERC_TRIBUTOS" localSheetId="6">'Auxiliar de Manutenção'!$E$90</definedName>
    <definedName name="PERC_TRIBUTOS" localSheetId="5">'Auxiliar de Manutenção-Estimado'!$E$90</definedName>
    <definedName name="PERC_TRIBUTOS" localSheetId="8">Eletrotécnico!$E$90</definedName>
    <definedName name="PERC_TRIBUTOS" localSheetId="7">'Eletrotécnico-Estimado'!$E$90</definedName>
    <definedName name="PERC_TRIBUTOS" localSheetId="4">'Oficial de Manutenção'!$E$90</definedName>
    <definedName name="PERC_TRIBUTOS" localSheetId="3">'Oficial de Manutenção-Estimado'!$E$90</definedName>
    <definedName name="Print_Area" localSheetId="0">'INSTRUÇOES PARA PREENCHIMENTO'!$A$1:$J$21</definedName>
    <definedName name="Print_Area" localSheetId="1">'MODELO PROPOSTA'!$A$2:$I$17</definedName>
    <definedName name="QTDE_POSTOS" localSheetId="6">'[1]INSERÇÃO-DE-DADOS'!$F$19</definedName>
    <definedName name="QTDE_POSTOS" localSheetId="5">'[1]INSERÇÃO-DE-DADOS'!$F$19</definedName>
    <definedName name="QTDE_POSTOS" localSheetId="8">'[1]INSERÇÃO-DE-DADOS'!$F$19</definedName>
    <definedName name="QTDE_POSTOS" localSheetId="7">'[1]INSERÇÃO-DE-DADOS'!$F$19</definedName>
    <definedName name="QTDE_POSTOS" localSheetId="4">'[1]INSERÇÃO-DE-DADOS'!$F$19</definedName>
    <definedName name="QTDE_POSTOS" localSheetId="3">'[1]INSERÇÃO-DE-DADOS'!$F$19</definedName>
    <definedName name="RAMO">'[1]INSERÇÃO-DE-DADOS'!$B$1</definedName>
    <definedName name="SAL_MINIMO">'[1]INSERÇÃO-DE-DADOS'!$F$25</definedName>
    <definedName name="SALARIO_BASE">'[1]INSERÇÃO-DE-DADOS'!$F$30</definedName>
    <definedName name="SUBMOD_2_1_DEC_TERC_ADIC_FERIAS" localSheetId="6">'Auxiliar de Manutenção'!$F$36</definedName>
    <definedName name="SUBMOD_2_1_DEC_TERC_ADIC_FERIAS" localSheetId="5">'Auxiliar de Manutenção-Estimado'!$F$36</definedName>
    <definedName name="SUBMOD_2_1_DEC_TERC_ADIC_FERIAS" localSheetId="8">Eletrotécnico!$F$36</definedName>
    <definedName name="SUBMOD_2_1_DEC_TERC_ADIC_FERIAS" localSheetId="7">'Eletrotécnico-Estimado'!$F$36</definedName>
    <definedName name="SUBMOD_2_1_DEC_TERC_ADIC_FERIAS" localSheetId="4">'Oficial de Manutenção'!$F$36</definedName>
    <definedName name="SUBMOD_2_1_DEC_TERC_ADIC_FERIAS" localSheetId="3">'Oficial de Manutenção-Estimado'!$F$36</definedName>
    <definedName name="SUBMOD_2_2_GPS_FGTS" localSheetId="6">'Auxiliar de Manutenção'!$F$47</definedName>
    <definedName name="SUBMOD_2_2_GPS_FGTS" localSheetId="5">'Auxiliar de Manutenção-Estimado'!$F$47</definedName>
    <definedName name="SUBMOD_2_2_GPS_FGTS" localSheetId="8">Eletrotécnico!$F$47</definedName>
    <definedName name="SUBMOD_2_2_GPS_FGTS" localSheetId="7">'Eletrotécnico-Estimado'!$F$47</definedName>
    <definedName name="SUBMOD_2_2_GPS_FGTS" localSheetId="4">'Oficial de Manutenção'!$F$47</definedName>
    <definedName name="SUBMOD_2_2_GPS_FGTS" localSheetId="3">'Oficial de Manutenção-Estimado'!$F$47</definedName>
    <definedName name="SUBMOD_2_3_BENEFICIOS" localSheetId="6">'Auxiliar de Manutenção'!$F$55</definedName>
    <definedName name="SUBMOD_2_3_BENEFICIOS" localSheetId="5">'Auxiliar de Manutenção-Estimado'!$F$55</definedName>
    <definedName name="SUBMOD_2_3_BENEFICIOS" localSheetId="8">Eletrotécnico!$F$55</definedName>
    <definedName name="SUBMOD_2_3_BENEFICIOS" localSheetId="7">'Eletrotécnico-Estimado'!$F$55</definedName>
    <definedName name="SUBMOD_2_3_BENEFICIOS" localSheetId="4">'Oficial de Manutenção'!$F$55</definedName>
    <definedName name="SUBMOD_2_3_BENEFICIOS" localSheetId="3">'Oficial de Manutenção-Estimado'!$F$55</definedName>
    <definedName name="SUBMOD_4_1_SUBSTITUTO" localSheetId="6">'Auxiliar de Manutenção'!$F$72</definedName>
    <definedName name="SUBMOD_4_1_SUBSTITUTO" localSheetId="5">'Auxiliar de Manutenção-Estimado'!$F$72</definedName>
    <definedName name="SUBMOD_4_1_SUBSTITUTO" localSheetId="8">Eletrotécnico!$F$72</definedName>
    <definedName name="SUBMOD_4_1_SUBSTITUTO" localSheetId="7">'Eletrotécnico-Estimado'!$F$72</definedName>
    <definedName name="SUBMOD_4_1_SUBSTITUTO" localSheetId="4">'Oficial de Manutenção'!$F$72</definedName>
    <definedName name="SUBMOD_4_1_SUBSTITUTO" localSheetId="3">'Oficial de Manutenção-Estimado'!$F$72</definedName>
    <definedName name="SUBMOD_4_2_INTRAJORNADA" localSheetId="6">'Auxiliar de Manutenção'!$F$76</definedName>
    <definedName name="SUBMOD_4_2_INTRAJORNADA" localSheetId="5">'Auxiliar de Manutenção-Estimado'!$F$76</definedName>
    <definedName name="SUBMOD_4_2_INTRAJORNADA" localSheetId="8">Eletrotécnico!$F$76</definedName>
    <definedName name="SUBMOD_4_2_INTRAJORNADA" localSheetId="7">'Eletrotécnico-Estimado'!$F$76</definedName>
    <definedName name="SUBMOD_4_2_INTRAJORNADA" localSheetId="4">'Oficial de Manutenção'!$F$76</definedName>
    <definedName name="SUBMOD_4_2_INTRAJORNADA" localSheetId="3">'Oficial de Manutenção-Estimado'!$F$76</definedName>
    <definedName name="TEMPO_INTERVALO_REFEICAO">'[1]INSERÇÃO-DE-DADOS'!$F$56</definedName>
    <definedName name="TRANSPORTE_POR_DIA">'[1]INSERÇÃO-DE-DADOS'!$F$41</definedName>
    <definedName name="UG">'[1]INSERÇÃO-DE-DADOS'!$B$2</definedName>
    <definedName name="VALOR_TOTAL_EMPREGADO" localSheetId="6">'Auxiliar de Manutenção'!$F$104</definedName>
    <definedName name="VALOR_TOTAL_EMPREGADO" localSheetId="5">'Auxiliar de Manutenção-Estimado'!$F$103</definedName>
    <definedName name="VALOR_TOTAL_EMPREGADO" localSheetId="8">Eletrotécnico!$F$104</definedName>
    <definedName name="VALOR_TOTAL_EMPREGADO" localSheetId="7">'Eletrotécnico-Estimado'!$F$103</definedName>
    <definedName name="VALOR_TOTAL_EMPREGADO" localSheetId="4">'Oficial de Manutenção'!$F$104</definedName>
    <definedName name="VALOR_TOTAL_EMPREGADO" localSheetId="3">'Oficial de Manutenção-Estimado'!$F$103</definedName>
    <definedName name="VALOR_TOTAL_POSTO" localSheetId="6">'Auxiliar de Manutenção'!$F$105</definedName>
    <definedName name="VALOR_TOTAL_POSTO" localSheetId="5">'Auxiliar de Manutenção-Estimado'!$F$104</definedName>
    <definedName name="VALOR_TOTAL_POSTO" localSheetId="8">Eletrotécnico!$F$105</definedName>
    <definedName name="VALOR_TOTAL_POSTO" localSheetId="7">'Eletrotécnico-Estimado'!$F$104</definedName>
    <definedName name="VALOR_TOTAL_POSTO" localSheetId="4">'Oficial de Manutenção'!$F$105</definedName>
    <definedName name="VALOR_TOTAL_POSTO" localSheetId="3">'Oficial de Manutenção-Estimado'!$F$104</definedName>
  </definedNames>
  <calcPr calcId="191029"/>
</workbook>
</file>

<file path=xl/calcChain.xml><?xml version="1.0" encoding="utf-8"?>
<calcChain xmlns="http://schemas.openxmlformats.org/spreadsheetml/2006/main">
  <c r="G19" i="2" l="1"/>
  <c r="H19" i="2" s="1"/>
  <c r="G20" i="2"/>
  <c r="H20" i="2" s="1"/>
  <c r="G21" i="2"/>
  <c r="H21" i="2" s="1"/>
  <c r="D58" i="38"/>
  <c r="E89" i="36"/>
  <c r="E88" i="36"/>
  <c r="E88" i="34"/>
  <c r="E89" i="34"/>
  <c r="E90" i="32"/>
  <c r="E89" i="32"/>
  <c r="E88" i="32"/>
  <c r="C58" i="38"/>
  <c r="C50" i="38"/>
  <c r="F139" i="27" s="1"/>
  <c r="D35" i="38"/>
  <c r="C35" i="38"/>
  <c r="C26" i="38"/>
  <c r="D56" i="2" s="1"/>
  <c r="F23" i="35"/>
  <c r="F23" i="31"/>
  <c r="C8" i="37"/>
  <c r="C7" i="37"/>
  <c r="D6" i="37"/>
  <c r="C5" i="37"/>
  <c r="D4" i="37"/>
  <c r="C3" i="37"/>
  <c r="H22" i="2" l="1"/>
  <c r="F106" i="36"/>
  <c r="F105" i="36"/>
  <c r="E90" i="36"/>
  <c r="E71" i="36"/>
  <c r="C71" i="36"/>
  <c r="E70" i="36"/>
  <c r="E69" i="36"/>
  <c r="E68" i="36"/>
  <c r="E67" i="36"/>
  <c r="E66" i="36"/>
  <c r="E60" i="36"/>
  <c r="E59" i="36"/>
  <c r="E58" i="36"/>
  <c r="C54" i="36"/>
  <c r="C53" i="36"/>
  <c r="C52" i="36"/>
  <c r="E46" i="36"/>
  <c r="E45" i="36"/>
  <c r="E44" i="36"/>
  <c r="E43" i="36"/>
  <c r="E42" i="36"/>
  <c r="E41" i="36"/>
  <c r="E40" i="36"/>
  <c r="E39" i="36"/>
  <c r="E35" i="36"/>
  <c r="E34" i="36"/>
  <c r="C29" i="36"/>
  <c r="C28" i="36"/>
  <c r="C27" i="36"/>
  <c r="D16" i="36"/>
  <c r="F11" i="36"/>
  <c r="F8" i="36"/>
  <c r="D6" i="36"/>
  <c r="F2" i="36"/>
  <c r="E90" i="35"/>
  <c r="E89" i="35"/>
  <c r="E88" i="35"/>
  <c r="F80" i="35"/>
  <c r="F84" i="35" s="1"/>
  <c r="F101" i="35" s="1"/>
  <c r="F75" i="35"/>
  <c r="F76" i="35" s="1"/>
  <c r="E71" i="35"/>
  <c r="C71" i="35"/>
  <c r="E69" i="35"/>
  <c r="E68" i="35"/>
  <c r="E67" i="35"/>
  <c r="E66" i="35"/>
  <c r="E59" i="35"/>
  <c r="E58" i="35"/>
  <c r="F54" i="35"/>
  <c r="C54" i="35"/>
  <c r="F53" i="35"/>
  <c r="C53" i="35"/>
  <c r="C52" i="35"/>
  <c r="F50" i="35"/>
  <c r="E46" i="35"/>
  <c r="E45" i="35"/>
  <c r="E44" i="35"/>
  <c r="E43" i="35"/>
  <c r="E42" i="35"/>
  <c r="E41" i="35"/>
  <c r="E40" i="35"/>
  <c r="E39" i="35"/>
  <c r="E35" i="35"/>
  <c r="E34" i="35"/>
  <c r="F29" i="35"/>
  <c r="C29" i="35"/>
  <c r="F28" i="35"/>
  <c r="C28" i="35"/>
  <c r="F27" i="35"/>
  <c r="C27" i="35"/>
  <c r="F26" i="35"/>
  <c r="D16" i="35"/>
  <c r="F11" i="35"/>
  <c r="F8" i="35"/>
  <c r="D6" i="35"/>
  <c r="F2" i="35"/>
  <c r="F106" i="34"/>
  <c r="F105" i="34"/>
  <c r="E90" i="34"/>
  <c r="E71" i="34"/>
  <c r="C71" i="34"/>
  <c r="E70" i="34"/>
  <c r="E69" i="34"/>
  <c r="E68" i="34"/>
  <c r="E67" i="34"/>
  <c r="E66" i="34"/>
  <c r="E60" i="34"/>
  <c r="E59" i="34"/>
  <c r="E58" i="34"/>
  <c r="C54" i="34"/>
  <c r="C53" i="34"/>
  <c r="C52" i="34"/>
  <c r="E46" i="34"/>
  <c r="E45" i="34"/>
  <c r="E44" i="34"/>
  <c r="E43" i="34"/>
  <c r="E42" i="34"/>
  <c r="E41" i="34"/>
  <c r="E40" i="34"/>
  <c r="E39" i="34"/>
  <c r="E35" i="34"/>
  <c r="E34" i="34"/>
  <c r="C29" i="34"/>
  <c r="C28" i="34"/>
  <c r="C27" i="34"/>
  <c r="D16" i="34"/>
  <c r="F11" i="34"/>
  <c r="F8" i="34"/>
  <c r="D6" i="34"/>
  <c r="F2" i="34"/>
  <c r="E90" i="33"/>
  <c r="E89" i="33"/>
  <c r="E88" i="33"/>
  <c r="F80" i="33"/>
  <c r="F84" i="33" s="1"/>
  <c r="F101" i="33" s="1"/>
  <c r="F75" i="33"/>
  <c r="F76" i="33" s="1"/>
  <c r="E71" i="33"/>
  <c r="C71" i="33"/>
  <c r="E69" i="33"/>
  <c r="E68" i="33"/>
  <c r="E67" i="33"/>
  <c r="E66" i="33"/>
  <c r="E59" i="33"/>
  <c r="E58" i="33"/>
  <c r="F54" i="33"/>
  <c r="C54" i="33"/>
  <c r="F53" i="33"/>
  <c r="C53" i="33"/>
  <c r="C52" i="33"/>
  <c r="F50" i="33"/>
  <c r="E46" i="33"/>
  <c r="E45" i="33"/>
  <c r="E44" i="33"/>
  <c r="E43" i="33"/>
  <c r="E42" i="33"/>
  <c r="E41" i="33"/>
  <c r="E40" i="33"/>
  <c r="E39" i="33"/>
  <c r="E35" i="33"/>
  <c r="E34" i="33"/>
  <c r="F29" i="33"/>
  <c r="C29" i="33"/>
  <c r="F28" i="33"/>
  <c r="C28" i="33"/>
  <c r="F27" i="33"/>
  <c r="C27" i="33"/>
  <c r="F26" i="33"/>
  <c r="F24" i="33"/>
  <c r="D16" i="33"/>
  <c r="F11" i="33"/>
  <c r="F8" i="33"/>
  <c r="D6" i="33"/>
  <c r="F2" i="33"/>
  <c r="F106" i="32"/>
  <c r="F105" i="32"/>
  <c r="E71" i="32"/>
  <c r="C71" i="32"/>
  <c r="E70" i="32"/>
  <c r="E69" i="32"/>
  <c r="E68" i="32"/>
  <c r="E67" i="32"/>
  <c r="E66" i="32"/>
  <c r="E60" i="32"/>
  <c r="E59" i="32"/>
  <c r="E58" i="32"/>
  <c r="C54" i="32"/>
  <c r="C53" i="32"/>
  <c r="C52" i="32"/>
  <c r="E46" i="32"/>
  <c r="E45" i="32"/>
  <c r="E44" i="32"/>
  <c r="E43" i="32"/>
  <c r="E42" i="32"/>
  <c r="E41" i="32"/>
  <c r="E40" i="32"/>
  <c r="E39" i="32"/>
  <c r="E35" i="32"/>
  <c r="E34" i="32"/>
  <c r="C29" i="32"/>
  <c r="C28" i="32"/>
  <c r="C27" i="32"/>
  <c r="D16" i="32"/>
  <c r="F11" i="32"/>
  <c r="F8" i="32"/>
  <c r="D6" i="32"/>
  <c r="F2" i="32"/>
  <c r="E90" i="31"/>
  <c r="E89" i="31"/>
  <c r="E88" i="31"/>
  <c r="F80" i="31"/>
  <c r="F84" i="31" s="1"/>
  <c r="F101" i="31" s="1"/>
  <c r="F75" i="31"/>
  <c r="F76" i="31" s="1"/>
  <c r="E71" i="31"/>
  <c r="C71" i="31"/>
  <c r="E69" i="31"/>
  <c r="E68" i="31"/>
  <c r="E67" i="31"/>
  <c r="E66" i="31"/>
  <c r="E59" i="31"/>
  <c r="E58" i="31"/>
  <c r="F54" i="31"/>
  <c r="C54" i="31"/>
  <c r="F53" i="31"/>
  <c r="C53" i="31"/>
  <c r="C52" i="31"/>
  <c r="F50" i="31"/>
  <c r="E46" i="31"/>
  <c r="E45" i="31"/>
  <c r="E44" i="31"/>
  <c r="E43" i="31"/>
  <c r="E42" i="31"/>
  <c r="E41" i="31"/>
  <c r="E40" i="31"/>
  <c r="E39" i="31"/>
  <c r="E35" i="31"/>
  <c r="E34" i="31"/>
  <c r="F29" i="31"/>
  <c r="C29" i="31"/>
  <c r="F28" i="31"/>
  <c r="C28" i="31"/>
  <c r="F27" i="31"/>
  <c r="C27" i="31"/>
  <c r="F26" i="31"/>
  <c r="F25" i="31"/>
  <c r="D16" i="31"/>
  <c r="F11" i="31"/>
  <c r="F8" i="31"/>
  <c r="D6" i="31"/>
  <c r="F2" i="31"/>
  <c r="E31" i="30"/>
  <c r="C31" i="30"/>
  <c r="E30" i="30"/>
  <c r="E29" i="30"/>
  <c r="E28" i="30"/>
  <c r="E27" i="30"/>
  <c r="E26" i="30"/>
  <c r="E22" i="30"/>
  <c r="E21" i="30"/>
  <c r="E20" i="30"/>
  <c r="E17" i="30"/>
  <c r="E6" i="30"/>
  <c r="E5" i="30"/>
  <c r="F55" i="31" l="1"/>
  <c r="F24" i="31"/>
  <c r="F30" i="31" s="1"/>
  <c r="F55" i="35"/>
  <c r="F55" i="33"/>
  <c r="F25" i="33"/>
  <c r="F30" i="33" s="1"/>
  <c r="F24" i="35"/>
  <c r="F25" i="35"/>
  <c r="F34" i="31" l="1"/>
  <c r="F35" i="31"/>
  <c r="F97" i="31"/>
  <c r="F34" i="33"/>
  <c r="F35" i="33"/>
  <c r="F97" i="33"/>
  <c r="F30" i="35"/>
  <c r="F34" i="35" s="1"/>
  <c r="F36" i="31" l="1"/>
  <c r="F39" i="31" s="1"/>
  <c r="F35" i="35"/>
  <c r="F36" i="35" s="1"/>
  <c r="F97" i="35"/>
  <c r="F36" i="33"/>
  <c r="F43" i="31" l="1"/>
  <c r="F41" i="31"/>
  <c r="F45" i="31"/>
  <c r="F46" i="31"/>
  <c r="F58" i="31" s="1"/>
  <c r="F42" i="31"/>
  <c r="F44" i="31"/>
  <c r="F40" i="31"/>
  <c r="F39" i="33"/>
  <c r="F41" i="33"/>
  <c r="F44" i="33"/>
  <c r="F45" i="33"/>
  <c r="F42" i="33"/>
  <c r="F40" i="33"/>
  <c r="F46" i="33"/>
  <c r="F58" i="33" s="1"/>
  <c r="F43" i="33"/>
  <c r="F43" i="35"/>
  <c r="F42" i="35"/>
  <c r="F39" i="35"/>
  <c r="F46" i="35"/>
  <c r="F58" i="35" s="1"/>
  <c r="F45" i="35"/>
  <c r="F41" i="35"/>
  <c r="F40" i="35"/>
  <c r="F44" i="35"/>
  <c r="F47" i="31" l="1"/>
  <c r="F98" i="31" s="1"/>
  <c r="F47" i="33"/>
  <c r="F47" i="35"/>
  <c r="F59" i="31" l="1"/>
  <c r="F59" i="33"/>
  <c r="F98" i="33"/>
  <c r="F59" i="35"/>
  <c r="F98" i="35"/>
  <c r="F31" i="29" l="1"/>
  <c r="F38" i="29"/>
  <c r="F39" i="29"/>
  <c r="F140" i="27"/>
  <c r="D51" i="2" s="1"/>
  <c r="H45" i="2"/>
  <c r="H46" i="2"/>
  <c r="H44" i="2"/>
  <c r="H39" i="2"/>
  <c r="H38" i="2"/>
  <c r="F56" i="2"/>
  <c r="H56" i="2" s="1"/>
  <c r="F4" i="27"/>
  <c r="F5" i="27"/>
  <c r="F6" i="27"/>
  <c r="F7" i="27"/>
  <c r="F8" i="27"/>
  <c r="F9" i="27"/>
  <c r="F10" i="27"/>
  <c r="F11" i="27"/>
  <c r="F12" i="27"/>
  <c r="F13" i="27"/>
  <c r="F14" i="27"/>
  <c r="F15" i="27"/>
  <c r="F138" i="27" s="1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3" i="27"/>
  <c r="F44" i="27"/>
  <c r="F45" i="27"/>
  <c r="F46" i="27"/>
  <c r="F47" i="27"/>
  <c r="F48" i="27"/>
  <c r="F49" i="27"/>
  <c r="F50" i="27"/>
  <c r="F51" i="27"/>
  <c r="F52" i="27"/>
  <c r="F53" i="27"/>
  <c r="F54" i="27"/>
  <c r="F55" i="27"/>
  <c r="F56" i="27"/>
  <c r="F57" i="27"/>
  <c r="F58" i="27"/>
  <c r="F59" i="27"/>
  <c r="F60" i="27"/>
  <c r="F61" i="27"/>
  <c r="F62" i="27"/>
  <c r="F63" i="27"/>
  <c r="F64" i="27"/>
  <c r="F65" i="27"/>
  <c r="F66" i="27"/>
  <c r="F67" i="27"/>
  <c r="F68" i="27"/>
  <c r="F69" i="27"/>
  <c r="F70" i="27"/>
  <c r="F71" i="27"/>
  <c r="F72" i="27"/>
  <c r="F73" i="27"/>
  <c r="F74" i="27"/>
  <c r="F75" i="27"/>
  <c r="F76" i="27"/>
  <c r="F77" i="27"/>
  <c r="F78" i="27"/>
  <c r="F79" i="27"/>
  <c r="F80" i="27"/>
  <c r="F81" i="27"/>
  <c r="F82" i="27"/>
  <c r="F83" i="27"/>
  <c r="F84" i="27"/>
  <c r="F85" i="27"/>
  <c r="F86" i="27"/>
  <c r="F87" i="27"/>
  <c r="F88" i="27"/>
  <c r="F89" i="27"/>
  <c r="F90" i="27"/>
  <c r="F91" i="27"/>
  <c r="F92" i="27"/>
  <c r="F93" i="27"/>
  <c r="F94" i="27"/>
  <c r="F95" i="27"/>
  <c r="F96" i="27"/>
  <c r="F97" i="27"/>
  <c r="F98" i="27"/>
  <c r="F99" i="27"/>
  <c r="F100" i="27"/>
  <c r="F101" i="27"/>
  <c r="F102" i="27"/>
  <c r="F103" i="27"/>
  <c r="F104" i="27"/>
  <c r="F105" i="27"/>
  <c r="F109" i="27"/>
  <c r="F110" i="27"/>
  <c r="F111" i="27"/>
  <c r="F112" i="27"/>
  <c r="F113" i="27"/>
  <c r="F114" i="27"/>
  <c r="F115" i="27"/>
  <c r="F116" i="27"/>
  <c r="F117" i="27"/>
  <c r="F118" i="27"/>
  <c r="F119" i="27"/>
  <c r="F120" i="27"/>
  <c r="F121" i="27"/>
  <c r="F122" i="27"/>
  <c r="F123" i="27"/>
  <c r="F124" i="27"/>
  <c r="F125" i="27"/>
  <c r="F126" i="27"/>
  <c r="F127" i="27"/>
  <c r="F128" i="27"/>
  <c r="F129" i="27"/>
  <c r="F130" i="27"/>
  <c r="F131" i="27"/>
  <c r="F132" i="27"/>
  <c r="F133" i="27"/>
  <c r="F134" i="27"/>
  <c r="F135" i="27"/>
  <c r="F136" i="27"/>
  <c r="F137" i="27"/>
  <c r="F26" i="2"/>
  <c r="H26" i="2" s="1"/>
  <c r="F27" i="2"/>
  <c r="H27" i="2" s="1"/>
  <c r="F28" i="2"/>
  <c r="H28" i="2" s="1"/>
  <c r="F29" i="2"/>
  <c r="H29" i="2" s="1"/>
  <c r="F30" i="2"/>
  <c r="H30" i="2" s="1"/>
  <c r="F31" i="2"/>
  <c r="H31" i="2" s="1"/>
  <c r="F32" i="2"/>
  <c r="H32" i="2" s="1"/>
  <c r="F33" i="2"/>
  <c r="H33" i="2" s="1"/>
  <c r="F25" i="2"/>
  <c r="H25" i="2" s="1"/>
  <c r="H34" i="2" l="1"/>
  <c r="H47" i="2"/>
  <c r="H51" i="2"/>
  <c r="H40" i="2"/>
  <c r="H58" i="2" l="1"/>
  <c r="E70" i="33"/>
  <c r="E70" i="31"/>
  <c r="E70" i="35"/>
  <c r="E60" i="35"/>
  <c r="E60" i="31"/>
  <c r="E60" i="33"/>
  <c r="F60" i="31"/>
  <c r="F61" i="31" s="1"/>
  <c r="F60" i="33"/>
  <c r="F61" i="33" s="1"/>
  <c r="F60" i="35"/>
  <c r="F61" i="35" s="1"/>
  <c r="F99" i="33" l="1"/>
  <c r="F69" i="33"/>
  <c r="F66" i="33"/>
  <c r="F68" i="33"/>
  <c r="F67" i="33"/>
  <c r="F71" i="33"/>
  <c r="F71" i="35"/>
  <c r="F99" i="35"/>
  <c r="F69" i="35"/>
  <c r="F66" i="35"/>
  <c r="F67" i="35"/>
  <c r="F68" i="35"/>
  <c r="F66" i="31"/>
  <c r="F67" i="31"/>
  <c r="F71" i="31"/>
  <c r="F69" i="31"/>
  <c r="F99" i="31"/>
  <c r="F68" i="31"/>
  <c r="F70" i="33"/>
  <c r="F70" i="35"/>
  <c r="F70" i="31"/>
  <c r="F72" i="33" l="1"/>
  <c r="F72" i="31"/>
  <c r="F72" i="35"/>
  <c r="F100" i="31" l="1"/>
  <c r="F88" i="31"/>
  <c r="F89" i="31" s="1"/>
  <c r="F93" i="31" s="1"/>
  <c r="F100" i="35"/>
  <c r="F88" i="35"/>
  <c r="F89" i="35" s="1"/>
  <c r="F92" i="35" s="1"/>
  <c r="F100" i="33"/>
  <c r="F88" i="33"/>
  <c r="F89" i="33" s="1"/>
  <c r="F91" i="33" s="1"/>
  <c r="F91" i="35" l="1"/>
  <c r="F93" i="35"/>
  <c r="F92" i="33"/>
  <c r="F91" i="31"/>
  <c r="F93" i="33"/>
  <c r="F92" i="31"/>
  <c r="F90" i="33" l="1"/>
  <c r="F94" i="33" s="1"/>
  <c r="F102" i="33" s="1"/>
  <c r="F103" i="33" s="1"/>
  <c r="F105" i="33"/>
  <c r="F104" i="33"/>
  <c r="F90" i="31"/>
  <c r="F94" i="31" s="1"/>
  <c r="F102" i="31" s="1"/>
  <c r="F103" i="31" s="1"/>
  <c r="F90" i="35"/>
  <c r="F94" i="35" s="1"/>
  <c r="F102" i="35" s="1"/>
  <c r="F103" i="35" s="1"/>
  <c r="F105" i="35" l="1"/>
  <c r="F104" i="35"/>
  <c r="F104" i="31"/>
  <c r="F105" i="3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F4CA0A1D-9DAC-4C17-8CDB-10A86740D052}">
      <text>
        <r>
          <rPr>
            <sz val="9"/>
            <color indexed="81"/>
            <rFont val="Segoe UI"/>
            <family val="2"/>
          </rPr>
          <t>Valores retirados da planilha "Cálculo do BDI"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89" authorId="0" shapeId="0" xr:uid="{34ED42AC-0A07-477D-81B3-967BF25A0283}">
      <text>
        <r>
          <rPr>
            <sz val="9"/>
            <color indexed="81"/>
            <rFont val="Segoe UI"/>
            <family val="2"/>
          </rPr>
          <t xml:space="preserve">Lucro retirado do valor preenchido na planilha "Cálculo do BDI"
</t>
        </r>
      </text>
    </comment>
    <comment ref="E94" authorId="0" shapeId="0" xr:uid="{17E21488-60CC-4D89-9BCD-B189A23FFF23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67179E15-F924-4C1E-BDDE-5D158A8CC0BF}">
      <text>
        <r>
          <rPr>
            <sz val="9"/>
            <color indexed="81"/>
            <rFont val="Segoe UI"/>
            <family val="2"/>
          </rPr>
          <t>Valores retirados da planilha "Cálculo do BDI"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89" authorId="0" shapeId="0" xr:uid="{785D9DA8-34CB-4909-9035-294FA11AAB3E}">
      <text>
        <r>
          <rPr>
            <sz val="9"/>
            <color indexed="81"/>
            <rFont val="Segoe UI"/>
            <family val="2"/>
          </rPr>
          <t xml:space="preserve">Lucro retirado do valor preenchido na planilha "Cálculo do BDI"
</t>
        </r>
      </text>
    </comment>
    <comment ref="E94" authorId="0" shapeId="0" xr:uid="{A0FCC7CA-280B-48B7-B072-3DE0F0CE9BD9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prpa</author>
  </authors>
  <commentList>
    <comment ref="E88" authorId="0" shapeId="0" xr:uid="{85672B3D-8B53-4513-9DE1-A860A3164936}">
      <text>
        <r>
          <rPr>
            <sz val="9"/>
            <color indexed="81"/>
            <rFont val="Segoe UI"/>
            <family val="2"/>
          </rPr>
          <t>Valores retirados da planilha "Cálculo do BDI"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89" authorId="0" shapeId="0" xr:uid="{959AB520-A70E-421A-8E10-1D4E30B1C661}">
      <text>
        <r>
          <rPr>
            <sz val="9"/>
            <color indexed="81"/>
            <rFont val="Segoe UI"/>
            <family val="2"/>
          </rPr>
          <t xml:space="preserve">Lucro retirado do valor preenchido na planilha "Cálculo do BDI"
</t>
        </r>
      </text>
    </comment>
    <comment ref="E94" authorId="0" shapeId="0" xr:uid="{E0915E61-AC7B-4AA2-8DE7-30510BEB284E}">
      <text>
        <r>
          <rPr>
            <sz val="9"/>
            <color indexed="81"/>
            <rFont val="Segoe UI"/>
            <family val="2"/>
          </rPr>
          <t>Preencher somente se 
possuir desoneração de folha.</t>
        </r>
      </text>
    </comment>
  </commentList>
</comments>
</file>

<file path=xl/sharedStrings.xml><?xml version="1.0" encoding="utf-8"?>
<sst xmlns="http://schemas.openxmlformats.org/spreadsheetml/2006/main" count="1739" uniqueCount="515">
  <si>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</si>
  <si>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</si>
  <si>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</si>
  <si>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</si>
  <si>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</si>
  <si>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</si>
  <si>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</si>
  <si>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</si>
  <si>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</si>
  <si>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</si>
  <si>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</si>
  <si>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</si>
  <si>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</si>
  <si>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</si>
  <si>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</si>
  <si>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</si>
  <si>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</si>
  <si>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DESCRIÇÃO</t>
  </si>
  <si>
    <t>ITEM</t>
  </si>
  <si>
    <t>UN</t>
  </si>
  <si>
    <t>1.23.000.002685/2022-92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</si>
  <si>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</si>
  <si>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QUANT. HORAS/ANO</t>
  </si>
  <si>
    <t>VALOR HORA (R$)</t>
  </si>
  <si>
    <t>VALOR TOTAL ANUAL (R$)</t>
  </si>
  <si>
    <t>A: VALOR UNITÁRIO ANUAL</t>
  </si>
  <si>
    <t>PROFISSIONAIS RESIDENTES</t>
  </si>
  <si>
    <t>Oficial de manutenção predial - Sistemas hidrossanitário e civil (CBO 5143-25)</t>
  </si>
  <si>
    <t>Auxiliar de manutenção predial (CBO 5143-10)</t>
  </si>
  <si>
    <t>Eletrotécnico (CBO 3131-05)</t>
  </si>
  <si>
    <t>QUANT.</t>
  </si>
  <si>
    <t>QTD. HORAS/MÊS</t>
  </si>
  <si>
    <t>VALOR MÊS (R$)</t>
  </si>
  <si>
    <t>B: VALOR UNITÁRIO ANUAL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</si>
  <si>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</si>
  <si>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</si>
  <si>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</si>
  <si>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</si>
  <si>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</si>
  <si>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</si>
  <si>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</si>
  <si>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</si>
  <si>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</si>
  <si>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EQUIPAMENTO</t>
  </si>
  <si>
    <t>MANUTENÇÃO PREVENTIVA</t>
  </si>
  <si>
    <t>Grupo Gerador</t>
  </si>
  <si>
    <t>Climatização</t>
  </si>
  <si>
    <t>Rede Ininterrupta - Nobreak</t>
  </si>
  <si>
    <t>MANUTENÇÃO CORRETIVA</t>
  </si>
  <si>
    <t>D: VALOR UNITÁRIO ANUAL</t>
  </si>
  <si>
    <t>E: VALOR UNITÁRIO ANUAL</t>
  </si>
  <si>
    <t>F – MATERIAIS PARA REPOSIÇÃO E ADAPTAÇÃO</t>
  </si>
  <si>
    <t>Estimativa Anual sem desconto para o Órgão. Incluso BDI de referência.</t>
  </si>
  <si>
    <t>Percentual de Desconto sobre a Estimativa Anual %</t>
  </si>
  <si>
    <t>Valor Anual
Estimado com desconto para o Órgão. Incluso BDI de referência.</t>
  </si>
  <si>
    <t>Fornecimento de materiais e prestação de serviços por ressarcimento</t>
  </si>
  <si>
    <t>O valor total anual da proposta é de R$ xxxxxxxxx (xxxxxxxxxxxx por extenso)</t>
  </si>
  <si>
    <t>Fornecimento de materiais para reposição e adaptação (ANEXO I).</t>
  </si>
  <si>
    <t>Estimativa anual sem desconto para o Órgão. Incluso BDI de referência.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</si>
  <si>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</si>
  <si>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</si>
  <si>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</si>
  <si>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</si>
  <si>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</si>
  <si>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</si>
  <si>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</si>
  <si>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</si>
  <si>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</si>
  <si>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</si>
  <si>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</si>
  <si>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</si>
  <si>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</si>
  <si>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</si>
  <si>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</si>
  <si>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</si>
  <si>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</si>
  <si>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</si>
  <si>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</si>
  <si>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TOTAL GERAL</t>
  </si>
  <si>
    <t>BDI</t>
  </si>
  <si>
    <t>SOMA TOTAL</t>
  </si>
  <si>
    <t>SINAPI -511</t>
  </si>
  <si>
    <t>L</t>
  </si>
  <si>
    <t>PRIME PARA IMPRIMAÇÃO, LATA DE 18 LITROS. REF: IMPERMANTA PRIMER. FABRICANTE DENVER IMPERMEABILIZANTES OU EQUIVALENTE.</t>
  </si>
  <si>
    <t>SINAPI – 377</t>
  </si>
  <si>
    <t>ASSENTO SANITÁRIO EM PLÁSTICO</t>
  </si>
  <si>
    <t>SINAPI -10556</t>
  </si>
  <si>
    <t>SINAPI -39416</t>
  </si>
  <si>
    <t>SINAPI -39412</t>
  </si>
  <si>
    <t>M²</t>
  </si>
  <si>
    <t>SINAPI -38181</t>
  </si>
  <si>
    <t>PISO TATIL, TIPO DIRECIONAL EM PVC</t>
  </si>
  <si>
    <t>PISO TATIL, TIPO ALERTA EM PVC</t>
  </si>
  <si>
    <t>SINAPI -36178</t>
  </si>
  <si>
    <t>PISO TATIL, TIPO DIRECIONAL EM CONCRETO</t>
  </si>
  <si>
    <t>PISO TÁTIL, TIPO ALERTA EM CONCRETO</t>
  </si>
  <si>
    <t>SINAPI -39427</t>
  </si>
  <si>
    <t>M</t>
  </si>
  <si>
    <t>PERFIL PARA FORRO DE GESSO ACARTONADO, TIPO CANALETA, 70X20, FABRICADO EM AÇO GALVANIZADO, COM ESPESSURA DE 0,50MM, BARA MEDINDO 3 METROS.</t>
  </si>
  <si>
    <t>SINAPI -39421</t>
  </si>
  <si>
    <t>MONTANTE GALVANIZADO FORMATO “C” PARA PAREDE DRY WALL, COM 3,00 M – REF. M75, FAB. LAFARGE GYPSUM OU EQUIVALENTE.</t>
  </si>
  <si>
    <t>SINAPI -11499</t>
  </si>
  <si>
    <t>SINAPI -43626</t>
  </si>
  <si>
    <t>KG</t>
  </si>
  <si>
    <t>MASSA CORRIDA PVA, REFERÊNCIA: SHERWIN WILLIANS, SUVINIL, CORAL OU EQUIVALENTE, EMBALAGEM: LATA COM 25 KG. DEVERÁ APRESENTAR AS SEGUITNES CARACTERÍSTICAS TÉCNICAS MÍNIMAS; RENDIMENTO 40 M2/LATA 18L/DEMÃO; SÓLIDOS POR PESO 65%; SÓLIDOS POR VOLUME 42%.</t>
  </si>
  <si>
    <t>SINAPI -43651</t>
  </si>
  <si>
    <t>MASSA ACRÍLICA, GALÃO COM 6 KG – REF. METALATEX, MARCA SHERWIN WILLIANS OU EQUIVALENTE</t>
  </si>
  <si>
    <t>SINAPI -4015</t>
  </si>
  <si>
    <t>MANTA ASFÁLTICA, EM ASFALTO MODIFCADO, COM ACABAMENTO EM POLIURETANO, ROLO DE 10M X 1M X 4 MM</t>
  </si>
  <si>
    <t>SINAPI -39422</t>
  </si>
  <si>
    <t>SINAPI -39431</t>
  </si>
  <si>
    <t>FITA PARA GESSO ACARTONADO, FABRICADO COM PAPEL MICROPERFURADO, ROLO COM 150 METROS – REFERENCIA: JT, FABRICANTE: GYPSUM OU EQUIVALENTE</t>
  </si>
  <si>
    <t>SINAPI -39432</t>
  </si>
  <si>
    <t>FITA PARA GESSO ACARTONADO, COMPOSTA POR DUAS CINTAS METÁLICAS, APLICADAS SOBRE PAPEL MICROPERFURADO, ROLO COM 30 METROS</t>
  </si>
  <si>
    <t>COTAÇÃO</t>
  </si>
  <si>
    <t>FITA ANTIDERRAPANTE, NA COR PRETA, FABRICANTE: 3M, MODELO DE REFERÊNCIA: SAFETY WALK, LINHA DE USO GERAL. ROLO COM 20M X 5CM.</t>
  </si>
  <si>
    <t>SINAPI -3099</t>
  </si>
  <si>
    <t>SINAPI -38152</t>
  </si>
  <si>
    <t>SINAPI -3093</t>
  </si>
  <si>
    <t>SINAPI -2432</t>
  </si>
  <si>
    <t>SINAPI -39572</t>
  </si>
  <si>
    <t>BANCO DE DADOS</t>
  </si>
  <si>
    <t>QTD.</t>
  </si>
  <si>
    <t>LISTA DE REPOSIÇÃO DE MATERIAIS DIVERSOS</t>
  </si>
  <si>
    <t>SINAPI -6150</t>
  </si>
  <si>
    <t>SIFÃO METAL TIPO COPO 1.1/2 X 2”</t>
  </si>
  <si>
    <t>SINAPI -6136</t>
  </si>
  <si>
    <t>SIFÃO METAL TIPO COPO 1 X 1.1/2”</t>
  </si>
  <si>
    <t>SINAPI -38637</t>
  </si>
  <si>
    <t>SIFÃO METAL TIPO COPO 1.1/2 X 1.1/2”</t>
  </si>
  <si>
    <t>SINAPI -9873</t>
  </si>
  <si>
    <t>TUBO EM PVC MARROM SOLDÁVEL, DN 60
MM, BARRA 06 METROS, LINHA ÁGUA FRIA - ABNT NBR 5648 - REF. TIGRE, AMANCO OU EQUIVALENTE</t>
  </si>
  <si>
    <t>SINAPI -9875</t>
  </si>
  <si>
    <t>TUBO EM PVC MARROM SOLDÁVEL, DN 50
MM, BARRA 06 METROS, LINHA ÁGUA FRIA - ABNT NBR 5648 - REF. TIGRE, AMANCO OU EQUIVALENTE</t>
  </si>
  <si>
    <t>SINAPI -9869</t>
  </si>
  <si>
    <t>TUBO EM PVC MARROM SOLDÁVEL, DN 32
MM, BARRA 06 METROS, LINHA ÁGUA FRIA - ABNT NBR 5648 - REF. TIGRE, AMANCO OU EQUIVALENTE</t>
  </si>
  <si>
    <t>SINAPI -9868</t>
  </si>
  <si>
    <t>TUBO EM PVC MARROM SOLDÁVEL, DN 25MM, BARRA 06 METROS,  LINHA ÁGUA FRIA - ABNT NBR 5648 - REF. TIGRE, AMANCO OU EQUIVALENTE</t>
  </si>
  <si>
    <t>SINAPI -9836</t>
  </si>
  <si>
    <t>TUBO EM PVC BRANCO, TIPO PONTA E BOLSA, DN 100 MM, BARRA COM 6 METROS – LINHA ESGOTO - ABNT NBR 5688 - REF. TIGRE, AMANCO OU EQUIVALENTE</t>
  </si>
  <si>
    <t>SINAPI -1370</t>
  </si>
  <si>
    <t>SINAPI -13417</t>
  </si>
  <si>
    <t>SINAPI -13983</t>
  </si>
  <si>
    <t>SINAPI -36796</t>
  </si>
  <si>
    <t>SINAPI -7143</t>
  </si>
  <si>
    <t>TÊ EM PVC MARROM SOLDÁVEL, DN 60 MM – LINHA ÁGUA FRIA – ABNT NBR 5648 – REF. TIGRE, AMANCO OU EQUIVALENTE</t>
  </si>
  <si>
    <t>SINAPI -7142</t>
  </si>
  <si>
    <t>TÊ EM PVC MARROM SOLDÁVEL, DN 50 MM – LINHA ÁGUA FRIA – ABNT NBR 5648 – REF. TIGRE, AMANCO OU EQUIVALENTE</t>
  </si>
  <si>
    <t>SINAPI -7141</t>
  </si>
  <si>
    <t>TÊ EM PVC MARROM SOLDÁVEL, DN 40 MM – LINHA ÁGUA FRIA – ABNT NBR 5648 – REF. TIGRE, AMANCO OU EQUIVALENTE</t>
  </si>
  <si>
    <t>SINAPI -7140</t>
  </si>
  <si>
    <t>TÊ EM PVC MARROM SOLDÁVEL, DN 32 MM – LINHA ÁGUA FRIA – ABNT NBR 5648 – REF. TIGRE, AMANCO OU EQUIVALENTE</t>
  </si>
  <si>
    <t>SINAPI -7139</t>
  </si>
  <si>
    <t>TÊ EM PVC MARROM SOLDÁVEL, DN 25 MM – LINHA ÁGUA FRIA – ABNT NBR 5648 – REF. TIGRE, AMANCO OU EQUIVALENTE</t>
  </si>
  <si>
    <t>SINAPI -6005</t>
  </si>
  <si>
    <t>REGISTRO DE ESFERA, PASSAGEM PLENA, COM ALAVANCA, EM LIGA DE COBRE (BRONZE E LATÃO), CLASSE DE PRESSÃO 2 A 140 MCA, DN 3/4", ABNT NRB 14788. REF: DECA 1552.B.034 OU EQUIVALENTE</t>
  </si>
  <si>
    <t>SINAPI -6028</t>
  </si>
  <si>
    <t>REGISTRO DE ESFERA, PASSAGEM PLENA, COM ALAVANCA, EM LIGA DE COBRE (BRONZE E LATÃO), CLASSE DE PRESSÃO 2 A 140 MCA, DN 2", ABNT NRB 14788. REF: DECA 1552.B.200 OU EQUIVALENTE</t>
  </si>
  <si>
    <t>SINAPI -6019</t>
  </si>
  <si>
    <t>REGISTRO DE ESFERA, PASSAGEM PLENA, COM ALAVANCA, EM LIGA DE COBRE (BRONZE E LATÃO), CLASSE DE PRESSÃO 2 A 140 MCA, DN 1", ABNT NRB 14788. REF: DECA 1552.B.100 OU EQUIVALENTE</t>
  </si>
  <si>
    <t>SINAPI -4896</t>
  </si>
  <si>
    <t>PLUG ROSCÁVEL, EM PVC BRANCO, DN 3/4”, NORMA PeCP34, – LINHA ÁGUA FRIA - ABNT NBR 5648 - REF. TIGRE, AMANCO OU EQUIVALENTE</t>
  </si>
  <si>
    <t>PLUG ROSCÁVEL, EM PVC BRANCO, DN 1/2”, NORMA PeCP34, – LINHA ÁGUA FRIA - ABNT NBR 5648 - REF. TIGRE, AMANCO OU EQUIVALENTE</t>
  </si>
  <si>
    <t>SINAPI -11960</t>
  </si>
  <si>
    <t>PARAFUSO DE LATÃO 12MM, COM BUCHA PLÁSTICA S-12, PARA FIXAÇÃO DE TANQUE DE LAVAR. REF: DECA, VONDER OU EQUIVALENTE</t>
  </si>
  <si>
    <t>SINAPI -11955</t>
  </si>
  <si>
    <t>PARAFUSO DE LATÃO 10MM, COM BUCHA PLÁSTICA S-10, PARA FIXAÇÃO DE VASO SANITÁRIO. REF: DECA, VONDER OU EQUIVALENTE</t>
  </si>
  <si>
    <t>SINAPI -3899</t>
  </si>
  <si>
    <t>LUVA SIMPLES, EM PVC BRANCO, PONTA E BOLSA, DN 100MM – LINHA ESGOTO - ABNT NBR 5688 - REF. TIGRE, AMANCO OU EQUIVALENTE</t>
  </si>
  <si>
    <t>SINAPI -3864</t>
  </si>
  <si>
    <t>LUVA EM PVC MARROM SOLDÁVEL, DN 60 MM  - LINHA ÁGUA FRIA - ABNT NBR 5648 - REF. TIGRE, AMANCO OU EQUIVALENTE</t>
  </si>
  <si>
    <t>SINAPI -3863</t>
  </si>
  <si>
    <t>LUVA EM PVC MARROM SOLDÁVEL, DN 50 MM  - LINHA ÁGUA FRIA - ABNT NBR 5648 - REF. TIGRE, AMANCO OU EQUIVALENTE</t>
  </si>
  <si>
    <t>SINAPI -3862</t>
  </si>
  <si>
    <t>LUVA EM PVC MARROM SOLDÁVEL, DN 40 MM  - LINHA ÁGUA FRIA - ABNT NBR 5648 - REF. TIGRE, AMANCO OU EQUIVALENTE</t>
  </si>
  <si>
    <t>SINAPI -3903</t>
  </si>
  <si>
    <t>LUVA EM PVC MARROM SOLDÁVEL, DN 32 MM  - LINHA ÁGUA FRIA - ABNT NBR 5648 - REF. TIGRE, AMANCO OU EQUIVALENTE</t>
  </si>
  <si>
    <t>SINAPI -3904</t>
  </si>
  <si>
    <t>LUVA EM PVC MARROM SOLDÁVEL, DN 25 MM  - LINHA ÁGUA FRIA - ABNT NBR 5648 - REF. TIGRE, AMANCO OU EQUIVALENTE</t>
  </si>
  <si>
    <t>SINAPI -9910</t>
  </si>
  <si>
    <t>LUVA DE UNIÃO DN 60 MM EM PVC MARROM SOLDÁVEL - LINHA ÁGUA FRIA - ABNT NBR 5648 - REF. TIGRE, AMANCO OU EQUIVALENTE</t>
  </si>
  <si>
    <t>SINAPI -9897</t>
  </si>
  <si>
    <t>LUVA DE UNIÃO DN 50 MM EM PVC MARROM SOLDÁVEL - LINHA ÁGUA FRIA - ABNT NBR 5648 - REF. TIGRE, AMANCO OU EQUIVALENTE</t>
  </si>
  <si>
    <t>SINAPI -9894</t>
  </si>
  <si>
    <t>LUVA DE UNIÃO DN 40 MM EM PVC MARROM SOLDÁVEL - LINHA ÁGUA FRIA - ABNT NBR 5648 - REF. TIGRE, AMANCO OU EQUIVALENTE</t>
  </si>
  <si>
    <t>SINAPI -9895</t>
  </si>
  <si>
    <t>LUVA DE UNIÃO DN 32 MM EM PVC MARROM SOLDÁVEL - LINHA ÁGUA FRIA - ABNT NBR 5648 - REF. TIGRE, AMANCO OU EQUIVALENTE</t>
  </si>
  <si>
    <t>SINAPI -9906</t>
  </si>
  <si>
    <t>LUVA DE UNIÃO DN 25 MM EM PVC MARROM SOLDÁVEL - LINHA ÁGUA FRIA - ABNT NBR 5648 - REF. TIGRE, AMANCO OU EQUIVALENTE</t>
  </si>
  <si>
    <t>SINAPI -3850</t>
  </si>
  <si>
    <t>LUVA DE REDUÇÃO 60X50 MM EM PVC MARROM SOLDÁVEL - LINHA ÁGUA FRIA - ABNT NBR 5648 - REF. TIGRE, AMANCO OU EQUIVALENTE</t>
  </si>
  <si>
    <t>SINAPI -38023</t>
  </si>
  <si>
    <t>LUVA DE REDUÇÃO 50X25 MM EM PVC MARROM SOLDÁVEL - LINHA ÁGUA FRIA - ABNT NBR 5648 - REF. TIGRE, AMANCO OU EQUIVALENTE</t>
  </si>
  <si>
    <t>SINAPI -38022</t>
  </si>
  <si>
    <t>LUVA DE CORRER DN 60 MM EM PVC MARROM SOLDÁVEL - LINHA ÁGUA FRIA - ABNT NBR 5648 - REF. TIGRE, AMANCO OU EQUIVALENTE</t>
  </si>
  <si>
    <t>SINAPI -3847</t>
  </si>
  <si>
    <t>LUVA DE CORRER DN 50 MM EM PVC MARROM SOLDÁVEL - LINHA ÁGUA FRIA - ABNT NBR 5648 - REF. TIGRE, AMANCO OU EQUIVALENTE</t>
  </si>
  <si>
    <t>LUVA DE CORRER DN 40 MM EM PVC MARROM SOLDÁVEL - LINHA ÁGUA FRIA - ABNT NBR 5648 - REF. TIGRE, AMANCO OU EQUIVALENTE</t>
  </si>
  <si>
    <t>SINAPI -38021</t>
  </si>
  <si>
    <t>LUVA DE CORRER DN 32 MM EM PVC MARROM SOLDÁVEL - LINHA ÁGUA FRIA - ABNT NBR 5648 - REF. TIGRE, AMANCO OU EQUIVALENTE</t>
  </si>
  <si>
    <t>SINAPI -3873</t>
  </si>
  <si>
    <t>LUVA DE CORRER DN 25 MM EM PVC MARROM SOLDÁVEL - LINHA ÁGUA FRIA - ABNT NBR 5648 - REF. TIGRE, AMANCO OU EQUIVALENTE</t>
  </si>
  <si>
    <t>SINAPI -3539</t>
  </si>
  <si>
    <t>JOELHO EM PVC MARROM SOLDÁVEL, DN 60MM X 90º - LINHA ÁGUA FRIA - ABNT NBR 5648 - REF. TIGRE, AMANCO OU EQUIVALENTE</t>
  </si>
  <si>
    <t>SINAPI -3540</t>
  </si>
  <si>
    <t>JOELHO EM PVC MARROM SOLDÁVEL, DN 50MM X 90º - LINHA ÁGUA FRIA - ABNT NBR 5648 - REF. TIGRE, AMANCO OU EQUIVALENTE</t>
  </si>
  <si>
    <t>SINAPI -3535</t>
  </si>
  <si>
    <t>JOELHO EM PVC MARROM SOLDÁVEL, DN 40MM X 90º - LINHA ÁGUA FRIA - ABNT NBR 5648 - REF. TIGRE, AMANCO OU EQUIVALENTE</t>
  </si>
  <si>
    <t>SINAPI -3536</t>
  </si>
  <si>
    <t>JOELHO EM PVC MARROM SOLDÁVEL, DN 32 MM X 90º - LINHA ÁGUA FRIA - ABNT NBR 5648 - REF. TIGRE, AMANCO OU EQUIVALENTE</t>
  </si>
  <si>
    <t>SINAPI -3529</t>
  </si>
  <si>
    <t>JOELHO EM PVC MARROM SOLDÁVEL, DN 25 MM X 90º - LINHA ÁGUA FRIA - ABNT NBR 5648 - REF. TIGRE, AMANCO OU EQUIVALENTE</t>
  </si>
  <si>
    <t>CARRAPETA EM PLÁSTICO DN 3/4”, INCLUSO ARRUELA DE BORRACHA</t>
  </si>
  <si>
    <t>CARRAPETA EM PLÁSTICO DN 1/2”, INCLUSO ARRUELA DE BORRACHA</t>
  </si>
  <si>
    <t>SINAPI -1185</t>
  </si>
  <si>
    <t>CAP DN 25 MM EM PVC MARROM SOLDÁVEL – LINHA ÁGUA FRIA - ABNT NBR 5648 - REF. TIGRE, AMANCO OU EQUIVALENTE</t>
  </si>
  <si>
    <t>SINAPI -1194</t>
  </si>
  <si>
    <t>CAP 50 MM EM PVC MARROM SOLDÁVEL – LINHA ÁGUA FRIA - ABNT NBR 5648 - REF. TIGRE, AMANCO OU EQUIVALENTE</t>
  </si>
  <si>
    <t>SINAPI -00813</t>
  </si>
  <si>
    <t>BUCHA DE REDUÇÃO LONGA DN 50MM X 25MM EM PVC MARROM SOLDÁVEL – LINHA ÁGUA FRIA  - ABNT NBR 5648 - REF. TIGRE, AMANCO OU EQUIVALENTE</t>
  </si>
  <si>
    <t>SINAPI -00818</t>
  </si>
  <si>
    <t>BUCHA DE REDUÇÃO CURTA, EM PVC MARROM SOLDÁVEL, DN 60MM X 50MM – LINHA ÁGUA FRIA  - ABNT NBR 5648 - REF. TIGRE, AMANCO OU EQUIVALENTE</t>
  </si>
  <si>
    <t>SINAPI -00816</t>
  </si>
  <si>
    <t>BUCHA DE REDUÇÃO LONGA, EM PVC MARROM SOLDÁVEL, DN 60MM X 25MM – LINHA ÁGUA FRIA  - ABNT NBR 5648 - REF. TIGRE, AMANCO OU EQUIVALENTE</t>
  </si>
  <si>
    <t>SINAPI -00812</t>
  </si>
  <si>
    <t>BUCHA DE REDUÇÃO CURTA, EM PVC MARROM SOLDÁVEL, DN 40MM X 32MM – LINHA ÁGUA FRIA  - ABNT NBR 5648 - REF. TIGRE, AMANCO OU EQUIVALENTE</t>
  </si>
  <si>
    <t>SINAPI -00829</t>
  </si>
  <si>
    <t>BUCHA DE REDUÇÃO CURTA, EM PVC MARROM SOLDÁVEL, DN 32MM X 25MM – LINHA ÁGUA FRIA  - ABNT NBR 5648 - REF. TIGRE, AMANCO OU EQUIVALENTE</t>
  </si>
  <si>
    <t>SINAPI -00301</t>
  </si>
  <si>
    <t>ANEL DE VEDAÇÃO PARA ESGOTO, EM BORRACHA, DN 100MM - ABNT NBR 5688 - REF: TIGRE OU EQUIVALENTE</t>
  </si>
  <si>
    <t>SINAPI -00113</t>
  </si>
  <si>
    <t>ADAPTADOR EM PVC MARROM, SOLDÁVEL CURTO BOLSA E ROSCA PARA REGISTRO, DN 60MM X 2” - LINHA ÁGUA FRIA - ABNT NBR 5648 - REF. TIGRE, AMANCO OU EQUIVALENTE</t>
  </si>
  <si>
    <t>SINAPI -00112</t>
  </si>
  <si>
    <t>ADAPTADOR EM PVC MARROM, SOLDÁVEL CURTO BOLSA E ROSCA PARA REGISTRO, DN 50MM X 1 1/2” - ABNT NBR 5648 - REF. TIGRE, AMANCO OU EQUIVALENTE</t>
  </si>
  <si>
    <t>SINAPI -00108</t>
  </si>
  <si>
    <t>ADAPTADOR EM PVC MARROM, SOLDÁVEL CURTO BOLSA E ROSCA PARA REGISTRO, DN 32MM X 1 POL – ABNT NBR 5648 – REF. TIGRE, AMANCO OU EQUIVALENTE</t>
  </si>
  <si>
    <t>SINAPI -00065</t>
  </si>
  <si>
    <t>ADAPTADOR EM PVC MARROM, SOLDÁVEL CURTO BOLSA E ROSCA PARA REGISTRO, DN 25MM X 3/4” - LINHA ÁGUA FRIA - ABNT NBR 5648 - REF. TIGRE, AMANCO OU EQUIVALENTE</t>
  </si>
  <si>
    <t>LISTA DE REPOSIÇÃO DE MATERIAIS HIDRÁULICOS</t>
  </si>
  <si>
    <t>SINAPI -38092</t>
  </si>
  <si>
    <t>SINAPI -38093</t>
  </si>
  <si>
    <t>SINAPI -38091</t>
  </si>
  <si>
    <t>SINAPI -38095</t>
  </si>
  <si>
    <t>SINAPI – 38774</t>
  </si>
  <si>
    <t>LÂMPADA DE EMERGÊNCIA 30 LEDS, POTÊNCIA 2 W, BATERIA DE LÍTIO, AUTONOMIA DEV 6 HORAS</t>
  </si>
  <si>
    <t>LÂMPADA LED COM DISPOSITIVO DE CONTROLE INCORPORADO, TIPO BULBO A60, POTÊNCIA DE 8W, TENSÃO DE OPERAÇÃO BIVOLT 127/220V, BASE E-27, TEMPERATURA TÍPICA DE COR DE 6.500K, FATOR DE POTÊNCIA MÍNIMO DE 0,8, VIDA ÚTIL MÍNIMA (L70) DE 25.000H, FLUXO LUMINOSO MÍNINO DE 800LM, IRC MÍNIMO DE 80%, CERTIFICADA PELO INMETRO CONFORME EXIGÊNCIA DA PORTARIA INMETRO 144/2015. REF.: OSRAM LED SUPERSTAR CLASSIC A 8W.</t>
  </si>
  <si>
    <t>UND</t>
  </si>
  <si>
    <t>CAPA PARA CONECTOR RJ 45</t>
  </si>
  <si>
    <t>CONECTOR RJ 45</t>
  </si>
  <si>
    <t>CABO DE REDE CAT 6</t>
  </si>
  <si>
    <t>IGNITOR PARA LÂMPADA DE VAPOR METÁLICO 250W HPI, 220V. REF.: PHILIPS.</t>
  </si>
  <si>
    <t>CAPACITOR PARA LÂMPADA DE VAPOR METÁLICO, 16UF, +/- 5%, -25/+85 °C, 250VAC, 60HZ. REF.: EPCOS B32314 16UF.</t>
  </si>
  <si>
    <t>REATOR PARA LÂMPADA VAPOR METÁLICO 250W HPI, 220V, 60HZ, PARA USO EXTERNO. REF.: PHILIPS PRO REATOR VAPOR METALICO 250W HPI VTI250A26HPI E.</t>
  </si>
  <si>
    <t>LISTA DE REPOSIÇÃO DE MATERIAIS ELÉTRICOS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</si>
  <si>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</si>
  <si>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</si>
  <si>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</si>
  <si>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</si>
  <si>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</si>
  <si>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t>Cálculo do BDI</t>
  </si>
  <si>
    <t>VALOR UNITÁRIO</t>
  </si>
  <si>
    <t>VALOR TOTAL</t>
  </si>
  <si>
    <t>LÂMPADA DE VAPOR METÁLICO TUBULAR, 250W, 220V, BASE E40. REF.: PHILIPS HPI-T PLUS 250W/645 E40</t>
  </si>
  <si>
    <t>SENSOR DE PRESENÇA ULTRASSÔNICO PARA SOBREPOR NO TETO. ABRANGÊNCIA DE 4x8M. 3 TEMPOS DE DESLIGAMENTO. COM AJUSTE DE SENSIBILIDADE E SEM FOTOCÉLULA. TENSÃO: 127/220V. PARA TODOS OS TIPOS DE LÂMPADA (EXCETO VAPOR METÁLICO). REF.: SENUN 3MP25.</t>
  </si>
  <si>
    <t>LÂMPADA FLUORESCENTE TUBULAR 28W. T5. COMPRIMENTO: 1.163MM TEMPERATURA TÍPICA DE COR DE 4000K. FLUXO LUMINOSO MÍNIMO DE 2.900LM. BASE: G5. TEMPO DE VIDA: 20.000H. REF.: PHILIPS TL5 ESSENTIAL 28W/840.</t>
  </si>
  <si>
    <t>REATOR ELETRÔNICO PARA 2 LÂMPADAS TUBULARES FLUORESCENTES T5 DE 28W (2x28W), 220V, 60HZ, ALTO FATOR DE POTÊNCIA, PARTIDA RÁPIDA. REF.: PHILIPS BASIC T5 EL 2X28W TL5 220V EB228A26.</t>
  </si>
  <si>
    <t>LÂMPADA FLUORESCENTE TIPO PL 26W. 4 PINOS. TEMPERATURA TÍPICA DE COR DE 4.000K. FLUXO LUMINOSO MÍNIMO DE 1.600LM. SOQUETE: G24Q-3. REF.: PHILIPS PL-C 26W/840/4P.</t>
  </si>
  <si>
    <t>REATOR ELETRÔNICO PARA 2 LÂMPADAS TIPO PL DE 26W DE 4 PINOS (2x26W), 220V, 60HZ, ALTO FATOR DE POTÊNCIA, PARTIDA INSTANTÂNEA. REF.: PHILIPS BASIC 2x26W PL-T/C EB226A26PLT/C C.</t>
  </si>
  <si>
    <t>SOQUETE DE PORCELANA TIPO E-27. REF.: TRAMONTINA 5799090</t>
  </si>
  <si>
    <t>SINAPI -12294</t>
  </si>
  <si>
    <t>PLACA (ESPELHO) CEGA, FABRICADO EM TERMOPLÁSTICO ISOLANTE, RESISTENTE A ALTO IMPACTO E PROTEGIDO CONTRA AMARELAMENTO, TAMANHO 4x2 POL, COM PARAFUSOS PARA FIXAÇÃO, COR BRANCA, CONFORME PADRÃO EXISTENTE.</t>
  </si>
  <si>
    <t>PLACA (ESPELHO) CEGO, FABRICADO EM TERMOPLÁSTICO ISOLANTE, RESISTENTE A ALTO IMPACTO E PROTEGIDO CONTRA AMARELAMENTO, TAMANHO 4x4 POL, COM PARAFUSOS PARA FIXAÇÃO, COR BRANCA, CONFORME PADRÃO EXISTENTE.</t>
  </si>
  <si>
    <t>PLACA (ESPELHO) COM 1 (UM) POSTO HORIZONTAL, FABRICADO EM TERMOPLÁSTICO ISOLANTE, RESISTENTE A ALTO IMPACTO E PROTEGIDO CONTRA AMARELAMENTO, TAMANHO 4x2 POL, COM PARAFUSOS PARA FIXAÇÃO, COR BRANCA, CONFORME PADRÃO EXISTENTE.</t>
  </si>
  <si>
    <t>PLACA (ESPELHO) COM 2 (DOIS) POSTOS HORIZONTAIS, FABRICADO EM TERMOPLÁSTICO ISOLANTE, RESISTENTE A ALTO IMPACTO E PROTEGIDO CONTRA AMARELAMENTO, TAMANHO 4x2 POL, COM PARAFUSOS PARA FIXAÇÃO, COR BRANCA, CONFORME PADRÃO EXISTENTE.</t>
  </si>
  <si>
    <t>MÓDULO INTERRUPTOR, COR BRANCA, 10A, 220V, TERMOPLÁSTICO ISOLANTE, CONFORME PADRÃO EXISTENTE.</t>
  </si>
  <si>
    <t>SINAPI -38112</t>
  </si>
  <si>
    <t>MÓDULO TOMADA, COR BRANCA, 10A, 220V, TERMOPLÁSTICO ISOLANTE, NOVO PADRÃO BRASILEIRO, CONFORME PADRÃO EXISTENTE.</t>
  </si>
  <si>
    <t>SINAPI -38101</t>
  </si>
  <si>
    <t>MÓDULO TOMADA, COR VERMELHA, 10A, 220V, TERMOPLÁSTICO ISOLANTE, NOVO PADRÃO BRASILEIRO, CONFORME PADRÃO EXISTENTE.</t>
  </si>
  <si>
    <t>SINAPI -1014</t>
  </si>
  <si>
    <t>PLUGUE MACHO 2P+T (NBR 14.136:2002), 10A, 250V, COR BRANCA, PRODUZIDO EM TERMOPLÁSTICO ANTICHAMA, COM COMPONENTES CONDUTORES E PINO MACIÇO EM LIGA DE COBRE. REF.: TRAMONTINA 57402003</t>
  </si>
  <si>
    <t>PLUGUE FÊMEA 2P+T (NBR 14.136:2002), 10A, 250V, COR BRANCA, PRODUZIDO EM TERMOPLÁSTICO ANTICHAMA, COM COMPONENTES CONDUTORES E PINO MACIÇO EM LIGA DE COBRE. REF.: TRAMONTINA 57402053</t>
  </si>
  <si>
    <t>ADAPTADOR DE PLUGUE UNIVERSAL 2PU+T (ENTRADA) PARA TOMADA 2P+T 10A/250V NBR 14136:2002 (SAÍDA), PRODUZIDO EM TERMOPLÁSTICO BRANCO. REF.: DANEVA DN1662.</t>
  </si>
  <si>
    <t>ADAPTADOR DE PLUGUE 2P+T 10A/255V NBR 14136:2002 (ENTRADA) PARA TOMADA UNIVERSAL 2PU+T (SAÍDA), PRODUZIDO EM TERMOPLÁSTICO BRANCO. REF.: DANEVA DN1634.</t>
  </si>
  <si>
    <t>LÂMPADA ULTRAVIOLETA GERMICIDA PARA DESINFECÇÃO DE ÁGUAS. POTÊNCIA DE 55W. BASE 2G11 (4 PINOS). BULBO 2xT16. RADIAÇÃO UVC. TEMPO DE VIDA MÍNIMA DE 9.000H. REF.: PHILIPS TUV PL-L 55W/4P HF 1CT/25.</t>
  </si>
  <si>
    <t>REATOR ELETRÔNICO PARA LÂMPADA ULTRAVIOLETA. ALTO FATOR DE POTÊNCIA. PARTIDA RÁPIDA. POTÊNCIA 1x55W. BIVOLT 127/220V. THD &lt; 10%. TA 10 A 50°C - TC 50°C. ATENDIMENTO ÀS NORMAS NBR 14.417 E NBR 14.418. REF.: SODRAMAR HPM 1x55W.</t>
  </si>
  <si>
    <t>FILTRO DE LINHA COM 4 TOMADAS 2P+T 10A/250V (NBR 14136:2002). CABO DE FORÇA 3x0,75MM² COM COMPRIMENTO MÍNIMO DE 1,3M E PLUGUE 2P+T 10A/250V (NBR 14136:2002). PROTEÇÃO COM CHAVE DISJUNTORA (OPERAÇÃO LIVRE DE FUSÍVEL). TENSÃO DE OPERAÇÃO 127/220V (BIVOLT). POTÊNCIA MÁXIMA DE 1.270W (127V) e 2.200W (220V). CHAVE DE LIGA/DESLIGA. LED INDICADOR DE FUNCIONAMENTO. REF.: DANEVA DN1642</t>
  </si>
  <si>
    <t>CABO DE COBRE FLEXÍVEL (CONDUTOR ISOLADO), SEÇÃO DE 2,5MM², 450V/750V, COR VERDE,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</si>
  <si>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AZUL,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</si>
  <si>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VERMELHA,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</si>
  <si>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PRETA, ISOLAÇÃO DE PVC, CLASSE DE ENCORDOAMENTO 5 (EXTRA FLEXÍVEL), RESISTÊNCIA MÁXIMA DE 8,0 OHMS/KM A 20° CELSIUS, ATENDIMENTO ÀS NORMAS NBR NM280 E NBR NM 247-3. REF.: PRYSMIAN SUPERASTIC FLEX.</t>
  </si>
  <si>
    <t>CABO DE COBRE FLEXÍVEL (CONDUTOR ISOLADO), SEÇÃO DE 2,5MM², 450V/750V, COR BRANCA, ISOLAÇÃO DE PVC, CLASSE DE ENCORDOAMENTO 5 (EXTRA FLEXÍVEL), RESISTÊNCIA MÁXIMA DE 8,0 OHMS/KM A 20° CELSIUS, ATENDIMENTO ÀS NORMAS NBR NM280 E NBR NM 247-3. REF.: PRYSMIAN SUPERASTIC FLEX.</t>
  </si>
  <si>
    <t>SENSOR DE PRESENÇA FRONTAL MICROPROCESSADO. 100/240VAC (BIVOLT AUTOMÁTICO). 60 HZ. PARA AMBIENTES INTERNOS. REGULAGEM DE TEMPO: 1 E 30 SEGUNDOS, 1, 3, 7 E 15 MINUTOS. LED INDICADOR DE FUNCIONAMENTO. ALCANCE DE ATÉ 12M FRONTAL À 25°C. ÂNGULO DE COBERTURA DE ATÉ 110°. FOTOCÉLULA COM REGULAGEM ON E OFF. AJUSTE DE SENSIBILIDADE: MÍNIMA E MÁXIMA. REF.: EXATRON SPFØZD.</t>
  </si>
  <si>
    <r>
      <rPr>
        <sz val="10"/>
        <color rgb="FF000000"/>
        <rFont val="Arial"/>
        <family val="2"/>
      </rPr>
      <t>CABO DE COBRE FLEXÍVEL TIPO "PP" COM 3 CONDUTORES DE SEÇÃO DE 2,5MM² (3x2,5MM²), TENSÃO NOMINAL DE 300V/500V, COBERTURA E ISOLAÇÃO DE PVC, CLASSE DE ENCORDOAMENTO 5 (EXTRA FLEXÍVEL), RESISTÊNCIA MÁXIMA DE 8,0 OHMS/KM A 20° CELSIUS, ATENDIMENTO ÀS NORMAS NBR NM280 E</t>
    </r>
    <r>
      <rPr>
        <sz val="10"/>
        <color theme="1"/>
        <rFont val="Arial"/>
        <family val="2"/>
      </rPr>
      <t xml:space="preserve"> NBR NM 247-5</t>
    </r>
    <r>
      <rPr>
        <sz val="10"/>
        <color rgb="FF000000"/>
        <rFont val="Arial"/>
        <family val="2"/>
      </rPr>
      <t>. REF.: PRYSMIAN SUPERASTIC FLEX.</t>
    </r>
  </si>
  <si>
    <r>
      <t xml:space="preserve">GRELHA ESCAMOTEÁVEL EM AÇO INOX COM CAIXILHO PARA RALO.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</si>
  <si>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>REPARO PARA VÁLVULA DE DESCARGA.</t>
    </r>
    <r>
      <rPr>
        <sz val="10"/>
        <color rgb="FFFF0000"/>
        <rFont val="Arial"/>
        <family val="2"/>
      </rPr>
      <t xml:space="preserve"> CONFORME PADRÃO EXISTENTE PRM COMPLEMENTAR</t>
    </r>
    <r>
      <rPr>
        <sz val="10"/>
        <color rgb="FF000000"/>
        <rFont val="Arial"/>
        <family val="2"/>
      </rPr>
      <t>.</t>
    </r>
  </si>
  <si>
    <r>
      <t>TORNEIRA DE MESA PARA LAVATÓRIO.</t>
    </r>
    <r>
      <rPr>
        <sz val="11"/>
        <color rgb="FFFF0000"/>
        <rFont val="Arial"/>
        <family val="2"/>
      </rPr>
      <t xml:space="preserve"> CONFORME PADRÃO EXISTENTE PRM COMPLEMENTAR</t>
    </r>
    <r>
      <rPr>
        <sz val="11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</si>
  <si>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TORNEIRA PARA PIA DE COZINHA. </t>
    </r>
    <r>
      <rPr>
        <sz val="10"/>
        <color rgb="FFFF0000"/>
        <rFont val="Arial"/>
        <family val="2"/>
      </rPr>
      <t>CONFORME PADRÃO EXISTENTE PRM COMPLEMENTAR</t>
    </r>
    <r>
      <rPr>
        <sz val="10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</si>
  <si>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TORNEIRA PARA TANQUE. </t>
    </r>
    <r>
      <rPr>
        <sz val="10"/>
        <color rgb="FFFF0000"/>
        <rFont val="Arial"/>
        <family val="2"/>
      </rPr>
      <t>CONFORME PADRÃO EXISTENTE PRPA COMPLEMENTAR</t>
    </r>
    <r>
      <rPr>
        <sz val="10"/>
        <color rgb="FF000000"/>
        <rFont val="Arial"/>
        <family val="2"/>
      </rPr>
      <t>.</t>
    </r>
  </si>
  <si>
    <r>
      <rPr>
        <sz val="10"/>
        <color rgb="FF000000"/>
        <rFont val="Arial"/>
        <family val="2"/>
      </rPr>
      <t xml:space="preserve">DUCHA HIGIÊNICA. </t>
    </r>
    <r>
      <rPr>
        <sz val="10"/>
        <color rgb="FFFF0000"/>
        <rFont val="Arial"/>
        <family val="2"/>
      </rPr>
      <t>CONFORME PADRÃO EXISTENTE PRM COMPLEMENTAR</t>
    </r>
    <r>
      <rPr>
        <sz val="10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</si>
  <si>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CANTONEIRA GALVANIZADA PRA FORRO DE GESSO.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</si>
  <si>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CREMALHEIRA DENTADA PARA PORTÃO ELETRÔNICO.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</si>
  <si>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PARA PORTA DE MADEIRA.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</si>
  <si>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PARA PORTA CORTA-FOGO.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</si>
  <si>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INFERIOR PARA PORTA DE VIDRO.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</si>
  <si>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DOBRADIÇA SUPERIOR PARA PORTA DE VIDRO.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</si>
  <si>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INTERNA.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</si>
  <si>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EXTERNA.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</si>
  <si>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FECHADURA COM MAÇANETA – BANHEIRO.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</si>
  <si>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GUIA GALVANIZADA FORMATO “U’ PARA PAREDE – DRY WALL. </t>
    </r>
    <r>
      <rPr>
        <sz val="11"/>
        <color rgb="FFFF0000"/>
        <rFont val="Arial"/>
        <family val="2"/>
      </rPr>
      <t>CONFORME PADRÃO EXISTENTE PRM COMPLEMENTAR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</si>
  <si>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MOLA HIDRÁULICA, DE PISO, PARA PORTA DE VIDRO.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</si>
  <si>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DRYWALL, STANDARDS (ST) e= 10 MM EM GESSO ACARTONADO.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</si>
  <si>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FORRO e= 12,5 MM EM GESSO ACARTONADO. </t>
    </r>
    <r>
      <rPr>
        <sz val="11"/>
        <color rgb="FFFF0000"/>
        <rFont val="Arial"/>
        <family val="2"/>
      </rPr>
      <t>CONFORME PADRÃO EXISTENTE PRM.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</si>
  <si>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PLACA DE DRYWALL, RESISTENTE A UMIDADE EM GESSO ACARTONADO, COR VERDE, e= 12,5 MM.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</si>
  <si>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r>
      <rPr>
        <sz val="11"/>
        <color rgb="FF000000"/>
        <rFont val="Arial"/>
        <family val="2"/>
      </rPr>
      <t xml:space="preserve">PORTA DE MADEIRA. </t>
    </r>
    <r>
      <rPr>
        <sz val="11"/>
        <color rgb="FFFF0000"/>
        <rFont val="Arial"/>
        <family val="2"/>
      </rPr>
      <t>CONFORME PADRÃO EXISTENTE PRM</t>
    </r>
    <r>
      <rPr>
        <sz val="11"/>
        <color rgb="FF000000"/>
        <rFont val="Arial"/>
        <family val="2"/>
      </rPr>
      <t>.</t>
    </r>
  </si>
  <si>
    <t>ANEXO II – MODELO DE PROPOSTA E PLANILHA DE CUSTOS E FORMAÇÃO DO VALOR ESTIMADO</t>
  </si>
  <si>
    <t>ITEM 2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</si>
  <si>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</si>
  <si>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</si>
  <si>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</si>
  <si>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</si>
  <si>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</si>
  <si>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O CABEÇALHO ENCONTRA-SE DESBLOQUEADO PARA POSSIBILITAR IDENTIFICAÇÃO/PERSONALIZAÇÃO PELO LICITANTE.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</si>
  <si>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</si>
  <si>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</si>
  <si>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t>NAS PLANILHAS DE FORMAÇÃO DE PREÇOS PARA A MÃO DE OBRA RESIDENTE A EMPRESA APRESENTARÁ DE FORMA DETALHADA OS ITENS QUE COMPÕEM O "VALOR MENSAL" PARA CADA POSTO</t>
  </si>
  <si>
    <t>NA PROPOSTA, SERÁ FACULTADO O PREENCHIMENTO DO "PERCENTUAL DE DESCONTO SOBRE A ESTIMATIVA ANUAL" . CASO DEIXE EM BRANCO, SERÁ CONSIDERADO ZERO.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</si>
  <si>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</si>
  <si>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Para mais informações, consulte o Referencial Técnico de Custos, constante da aba PUBLICAÇÕES, na página da Auditoria Interna do MPU na internet (www.auditoria.mpu.mp.br).</t>
  </si>
  <si>
    <t>OBSERVAÇÃO</t>
  </si>
  <si>
    <t>Tempo de Intervalo para Refeição (em minutos)</t>
  </si>
  <si>
    <t>B</t>
  </si>
  <si>
    <t>Hora Extra (em %)</t>
  </si>
  <si>
    <t>A</t>
  </si>
  <si>
    <t>Minutos / %</t>
  </si>
  <si>
    <t>Intrajornada</t>
  </si>
  <si>
    <t>4.2</t>
  </si>
  <si>
    <t>Submódulo 4.2 - Intrajornada</t>
  </si>
  <si>
    <t>Participação Feminina (em %)</t>
  </si>
  <si>
    <t>H</t>
  </si>
  <si>
    <t>Dias de Licença-Maternidade</t>
  </si>
  <si>
    <t>G</t>
  </si>
  <si>
    <t>Dias pagos pela empresa em acidentes de trabalho</t>
  </si>
  <si>
    <t>F</t>
  </si>
  <si>
    <t>Empregados afastados por acidente de trabalho (em %)</t>
  </si>
  <si>
    <t>E</t>
  </si>
  <si>
    <t>Participação Masculina(em %)</t>
  </si>
  <si>
    <t>D</t>
  </si>
  <si>
    <t>Nascidos Vivos / População Feminina (em %)</t>
  </si>
  <si>
    <t>C</t>
  </si>
  <si>
    <t>Dias de Licença-Paternidade</t>
  </si>
  <si>
    <t>Dias de Ausências Legais</t>
  </si>
  <si>
    <t>Dias / %</t>
  </si>
  <si>
    <t>Substituto nas Ausências Legais</t>
  </si>
  <si>
    <t>4.1</t>
  </si>
  <si>
    <t>Submódulo 4.1 - Substituto nas Ausências Legais</t>
  </si>
  <si>
    <t>MÓDULO 4: CUSTO DE REPOSIÇÃO DO PROFISSIONAL AUSENTE</t>
  </si>
  <si>
    <t>Dias no mês</t>
  </si>
  <si>
    <t>Empregados que recebem aviso prévio trabalhado (em %)</t>
  </si>
  <si>
    <t>Multa do FGTS (em %)</t>
  </si>
  <si>
    <t>Empregados que recebem aviso prévio indenizado (em %)</t>
  </si>
  <si>
    <t>Pessoas demitidas sem justa causa / Total de desligamentos (em %)</t>
  </si>
  <si>
    <t>Provisão para Rescisão</t>
  </si>
  <si>
    <t>MÓDULO 3: PROVISÃO PARA RESCISÃO</t>
  </si>
  <si>
    <t>Mensal</t>
  </si>
  <si>
    <t>Desconto Remuneração Transporte</t>
  </si>
  <si>
    <t>%</t>
  </si>
  <si>
    <t>Frequência</t>
  </si>
  <si>
    <t>Benefícios Mensais e Diários</t>
  </si>
  <si>
    <t>2.3</t>
  </si>
  <si>
    <t>Submódulo 2.3 - Benefícios Mensais e Diários</t>
  </si>
  <si>
    <t>Hora Noturna (em minutos)</t>
  </si>
  <si>
    <t>Hora Normal (em minutos)</t>
  </si>
  <si>
    <t>K</t>
  </si>
  <si>
    <t xml:space="preserve">Meses no Ano </t>
  </si>
  <si>
    <t>J</t>
  </si>
  <si>
    <t>Média Anual de Dias Trabalhados no Mês</t>
  </si>
  <si>
    <t>I</t>
  </si>
  <si>
    <t>Dias no Ano</t>
  </si>
  <si>
    <t>Dias na Semana</t>
  </si>
  <si>
    <t>Divisor de Horas (em horas)</t>
  </si>
  <si>
    <t>Dias / Horas / Minutos</t>
  </si>
  <si>
    <t>Composição da Remuneração</t>
  </si>
  <si>
    <t>MÓDULO 1: COMPOSIÇÃO DA REMUNERAÇÃO</t>
  </si>
  <si>
    <t>DADOS ESTATÍSTICOS</t>
  </si>
  <si>
    <t>ENCARGOS SOCIAIS E TRABALHISTAS</t>
  </si>
  <si>
    <t>MÓDULO 2: ENCARGOS E BENEFÍCIOS ANUAIS, MENSAIS E DIÁRIOS</t>
  </si>
  <si>
    <t>Submódulo 2.1 - 13º (décimo terceiro) Salário e Adicional de Férias</t>
  </si>
  <si>
    <t>2.1</t>
  </si>
  <si>
    <t>13º Salário e Adicional de Férias</t>
  </si>
  <si>
    <t>Memória de Cálculo</t>
  </si>
  <si>
    <t>13º Salário</t>
  </si>
  <si>
    <t>(1/12) x 100</t>
  </si>
  <si>
    <t>Adicional de Férias</t>
  </si>
  <si>
    <t>[(1/3)/12] x 100</t>
  </si>
  <si>
    <t>Submódulo 2.2 - Encargos Previdencários (GPS), Fundo de Garantia por Tempo de Serviço (FGTS) e Outras Contribuições</t>
  </si>
  <si>
    <t>2.2</t>
  </si>
  <si>
    <t>Encargos Previdenciários (GPS), Fundo de Garantia por Tempo de Serviço (FGTS) e outras contribuições</t>
  </si>
  <si>
    <t>INSS</t>
  </si>
  <si>
    <t>Salário Educação</t>
  </si>
  <si>
    <t>Riscos Ambientas do Trabalho</t>
  </si>
  <si>
    <t>SESC</t>
  </si>
  <si>
    <t>SENAC</t>
  </si>
  <si>
    <t>SEBRAE</t>
  </si>
  <si>
    <t>INCRA</t>
  </si>
  <si>
    <t>FGTS</t>
  </si>
  <si>
    <t>TOTAL</t>
  </si>
  <si>
    <t>Aviso Prévio Indenizado</t>
  </si>
  <si>
    <t>[(62,93%) x 5,55% x (1/12)] x 100</t>
  </si>
  <si>
    <t>Aviso Prévio Trabalhado</t>
  </si>
  <si>
    <t>[(62,93%) x 94,45% x (7/30)/12] x 100</t>
  </si>
  <si>
    <t>Multa do FGTS sobre o Aviso Prévio Trabalhado</t>
  </si>
  <si>
    <t>1,16% x 40%  x 8,00% x 100</t>
  </si>
  <si>
    <t xml:space="preserve">Substituto na Cobertura de Férias </t>
  </si>
  <si>
    <t xml:space="preserve">(1/12) x 100 </t>
  </si>
  <si>
    <t>Substituto na Cobertura de Ausências Legais</t>
  </si>
  <si>
    <t>[(8/30)/12] x 100</t>
  </si>
  <si>
    <t>Substituto na Cobertura de Licença-Paternidade</t>
  </si>
  <si>
    <t>{[(20/30)/12] x 1,416% x 45,22%} x 100</t>
  </si>
  <si>
    <t>Substituto na Cobertura de Ausência por Acidente de Trabalho</t>
  </si>
  <si>
    <t>[(15/30)/12] x 0,44%} x 100</t>
  </si>
  <si>
    <t>Substituto na Cobertura de Afastamento Maternidade</t>
  </si>
  <si>
    <t>{[(180/30)/12] x 1,416% x 54,78% x 36,80%} x 100</t>
  </si>
  <si>
    <t>PR-PA</t>
  </si>
  <si>
    <t>DATA:</t>
  </si>
  <si>
    <t>CUSTOS REFERENTES AO POSTO</t>
  </si>
  <si>
    <t>DISCRIMINAÇÃO DOS SERVIÇOS (DADOS REFERENTES À CONTRATAÇÃO)</t>
  </si>
  <si>
    <t>Data de Apresentação da Proposta (DD/MM/AAAA)</t>
  </si>
  <si>
    <t>Local de Execução (Sede, Anexo I ou II, PTM, PRM)</t>
  </si>
  <si>
    <t>Acordo, Conv. ou Sentença Normativa em Dissídio Coletivo (MM/AAAA)</t>
  </si>
  <si>
    <t xml:space="preserve">PA000826/2022 </t>
  </si>
  <si>
    <t>Número de Meses de Execução Contratual</t>
  </si>
  <si>
    <t>Quantidade de Postos</t>
  </si>
  <si>
    <t>CUSTOS POR EMPREGADO</t>
  </si>
  <si>
    <t>Tipo de Serviço (mesmo serviço com características distintas)</t>
  </si>
  <si>
    <t>Oficial de manutenção</t>
  </si>
  <si>
    <t>Classificação Brasileira de Ocupações (CBO)</t>
  </si>
  <si>
    <t>5143-25</t>
  </si>
  <si>
    <t>Categoria Profissional (vinculada à execução contratual)</t>
  </si>
  <si>
    <t>Data-Base da Categoria (DD/MM/AAAA)</t>
  </si>
  <si>
    <t>PLANILHA DE CUSTOS E FORMAÇÃO DE PREÇOS</t>
  </si>
  <si>
    <t>EMPREGADOS POR POSTO</t>
  </si>
  <si>
    <t>Valor (R$)</t>
  </si>
  <si>
    <t>Salário-Base</t>
  </si>
  <si>
    <t>Adicional de Periculosidade</t>
  </si>
  <si>
    <t>Adicional Noturno</t>
  </si>
  <si>
    <t>Adicional de Hora Noturna Reduzida (em %)</t>
  </si>
  <si>
    <t>Adicional de Insalubridade</t>
  </si>
  <si>
    <t>Transporte</t>
  </si>
  <si>
    <t>Auxílio-Refeição/Alimentação</t>
  </si>
  <si>
    <t>Submódulo 4.2 - Substituto na Intrajornada</t>
  </si>
  <si>
    <t>Substituto na Intrajornada</t>
  </si>
  <si>
    <t>Substituto na Cobertura de Intervalo para Repouso e Alimentação</t>
  </si>
  <si>
    <t>MÓDULO 5: INSUMOS DIVERSOS</t>
  </si>
  <si>
    <t>Insumos Diversos</t>
  </si>
  <si>
    <t>Uniformes</t>
  </si>
  <si>
    <t>Ferramentas</t>
  </si>
  <si>
    <t>Equipamentos de Proteção Individual</t>
  </si>
  <si>
    <t>Outros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</si>
  <si>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</si>
  <si>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</si>
  <si>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</si>
  <si>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</si>
  <si>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</si>
  <si>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</si>
  <si>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C.2</t>
  </si>
  <si>
    <t>Cofins</t>
  </si>
  <si>
    <t>C.3</t>
  </si>
  <si>
    <t>ISS</t>
  </si>
  <si>
    <t>QUADRO RESUMO - CUSTO POR EMPREGADO</t>
  </si>
  <si>
    <t>MÓD.</t>
  </si>
  <si>
    <t>Mão-de-obra vinculada à execução contratual (valor por empregado)</t>
  </si>
  <si>
    <t>Valor    (R$)</t>
  </si>
  <si>
    <t>Encargos e Benefícios Anuais, Mensais e Diários</t>
  </si>
  <si>
    <t>Custo de Reposição do Profissional Ausente</t>
  </si>
  <si>
    <t>VALOR TOTAL DO EMPREGADO</t>
  </si>
  <si>
    <t>VALOR TOTAL POR POSTO</t>
  </si>
  <si>
    <t>VALOR TOTAL DA CATEGORIA</t>
  </si>
  <si>
    <t>C.4</t>
  </si>
  <si>
    <t>CPRB</t>
  </si>
  <si>
    <t>Auxiliar de Manutenção Predial</t>
  </si>
  <si>
    <t>5143-10</t>
  </si>
  <si>
    <t>Eletrotécnico</t>
  </si>
  <si>
    <t>3131-05</t>
  </si>
  <si>
    <t>PRM-SANTARÉM</t>
  </si>
  <si>
    <t>Uniforme</t>
  </si>
  <si>
    <t>Profissionais residentes</t>
  </si>
  <si>
    <t>BIMESTRAL</t>
  </si>
  <si>
    <t>SEMESTRAL</t>
  </si>
  <si>
    <t>ANUAL</t>
  </si>
  <si>
    <t>05 (cinco) camisas de malha piquê tipo polo, de manga curta, 100% algodão, na cor branca, com a logomarca da Contratada.</t>
  </si>
  <si>
    <t>01 (um) jaleco de brim, manga longa, 100% algodão, com 03 bolsos, sendo 01 superior (com logomarca da Contratada) e 02 laterais/frontais, na cor branca ou cor usual da Empresa.</t>
  </si>
  <si>
    <t>04 (quatro) calças tipo semi-bag, em brim 100% algodão, com presilhas para cinto, com 02 bolsos frontais e 02 bolsos traseiros, na cor azul royal ou na cor usual da empresa.</t>
  </si>
  <si>
    <t>01 (uma) bota de segurança confeccionada em vaqueta curtida ao cromo na cor preta, sem biqueira de aço, cano acolchoado e solado em PU.</t>
  </si>
  <si>
    <t>02 (dois) cintos de couro, na cor preta.</t>
  </si>
  <si>
    <t>05 (cinco) pares de meias de cano médio, 100% em algodão, na cor preta.</t>
  </si>
  <si>
    <t>Total Mensal</t>
  </si>
  <si>
    <t>Ferramentas (43460 – SINAPI)</t>
  </si>
  <si>
    <t>Equipamentos de Proteção Individual (43484 – SINAPI)</t>
  </si>
  <si>
    <t>Ferramentas (43475 – SINAPI)</t>
  </si>
  <si>
    <t>Equipamentos de Proteção Individual (43503 – SINAPI)</t>
  </si>
  <si>
    <t>Equipamentos de Proteção Individual (43496 – SINAPI)</t>
  </si>
  <si>
    <t>Ferramentas (43472 – SINAPI)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</si>
  <si>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</si>
  <si>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</si>
  <si>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</si>
  <si>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</si>
  <si>
    <t>Pregão Eletrônico nº 2/2023</t>
  </si>
  <si>
    <t>PREGÃO ELETRÔNICO Nº 2/2023 – UASG 200075</t>
  </si>
  <si>
    <t>F –MATERIAIS E PRESTAÇÃO DE SERVIÇOS POR RESSARCIMENTO</t>
  </si>
  <si>
    <t>VALOR TOTAL ESTIMADO DA CONTRATAÇÃO (A+B+C+D+E+F)</t>
  </si>
  <si>
    <t>ANEXO I.2 - PRM-Santarém e PRM-Itaituba</t>
  </si>
  <si>
    <t>PREGÃO ELETRÔNICO Nº 02/2023 – UASG 200075</t>
  </si>
  <si>
    <t>02/2023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</si>
  <si>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2/2023, promovido pela Procuradoria da República no Pará, como segue: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</si>
</sst>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[$R$-416]\ #,##0.00;[Red]\-[$R$-416]\ #,##0.00"/>
    <numFmt numFmtId="165" formatCode="#,##0.00\ ;\-#,##0.00\ "/>
    <numFmt numFmtId="166" formatCode="#,##0.00\ ;\(#,##0.00\)"/>
    <numFmt numFmtId="167" formatCode="#,##0\ ;\(#,##0\)"/>
    <numFmt numFmtId="168" formatCode="#,##0.0"/>
    <numFmt numFmtId="169" formatCode="d/m/yyyy"/>
  </numFmts>
  <fonts count="56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b/>
      <sz val="14"/>
      <color theme="1"/>
      <name val="Arial"/>
      <family val="2"/>
    </font>
    <font>
      <sz val="10"/>
      <color theme="1"/>
      <name val="Liberation Serif"/>
      <family val="1"/>
    </font>
    <font>
      <b/>
      <sz val="10"/>
      <color rgb="FFFF0000"/>
      <name val="Arial"/>
      <family val="2"/>
    </font>
    <font>
      <sz val="11"/>
      <name val="Segoe UI Light"/>
      <family val="2"/>
    </font>
    <font>
      <sz val="11"/>
      <color rgb="FF953735"/>
      <name val="Segoe UI Light"/>
      <family val="2"/>
    </font>
    <font>
      <b/>
      <sz val="14"/>
      <color rgb="FF953735"/>
      <name val="Segoe UI Light"/>
      <family val="2"/>
    </font>
    <font>
      <sz val="11"/>
      <color rgb="FFFF0000"/>
      <name val="Segoe UI Light"/>
      <family val="2"/>
    </font>
    <font>
      <b/>
      <sz val="11"/>
      <color rgb="FFFFFFFF"/>
      <name val="Segoe UI Light"/>
      <family val="2"/>
    </font>
    <font>
      <b/>
      <sz val="11"/>
      <name val="Segoe UI Light"/>
      <family val="2"/>
    </font>
    <font>
      <b/>
      <sz val="11"/>
      <color rgb="FF632523"/>
      <name val="Segoe UI Light"/>
      <family val="2"/>
    </font>
    <font>
      <sz val="8"/>
      <name val="Segoe UI Light"/>
      <family val="2"/>
    </font>
    <font>
      <b/>
      <sz val="16"/>
      <color rgb="FF632523"/>
      <name val="Segoe UI Light"/>
      <family val="2"/>
    </font>
    <font>
      <sz val="14"/>
      <name val="Segoe UI Light"/>
      <family val="2"/>
    </font>
    <font>
      <b/>
      <sz val="16"/>
      <name val="Segoe UI Light"/>
      <family val="2"/>
    </font>
    <font>
      <b/>
      <sz val="12"/>
      <name val="Segoe UI Light"/>
      <family val="2"/>
    </font>
    <font>
      <b/>
      <sz val="20"/>
      <name val="Segoe UI Light"/>
      <family val="2"/>
    </font>
    <font>
      <b/>
      <sz val="11"/>
      <color rgb="FFFF0000"/>
      <name val="Segoe UI Light"/>
      <family val="2"/>
    </font>
    <font>
      <i/>
      <sz val="10"/>
      <color rgb="FFFFFFFF"/>
      <name val="Segoe UI Light"/>
      <family val="2"/>
    </font>
    <font>
      <i/>
      <sz val="10"/>
      <name val="Segoe UI Light"/>
      <family val="2"/>
    </font>
    <font>
      <b/>
      <sz val="14"/>
      <name val="Segoe UI Light"/>
      <family val="2"/>
    </font>
    <font>
      <sz val="9"/>
      <color indexed="81"/>
      <name val="Segoe UI"/>
      <family val="2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8000"/>
      </patternFill>
    </fill>
    <fill>
      <patternFill patternType="solid">
        <fgColor rgb="FFFFFFFF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D55816"/>
        <bgColor rgb="FF993300"/>
      </patternFill>
    </fill>
    <fill>
      <patternFill patternType="solid">
        <fgColor rgb="FFFCD5B5"/>
        <bgColor rgb="FFFDEADA"/>
      </patternFill>
    </fill>
    <fill>
      <patternFill patternType="solid">
        <fgColor theme="4" tint="0.39997558519241921"/>
        <bgColor rgb="FFFDEADA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4" tint="-0.249977111117893"/>
        <bgColor rgb="FF993300"/>
      </patternFill>
    </fill>
    <fill>
      <patternFill patternType="solid">
        <fgColor theme="4" tint="-0.499984740745262"/>
        <bgColor rgb="FF993300"/>
      </patternFill>
    </fill>
    <fill>
      <patternFill patternType="solid">
        <fgColor rgb="FFFFFF00"/>
        <bgColor rgb="FFF2F2F2"/>
      </patternFill>
    </fill>
    <fill>
      <patternFill patternType="solid">
        <fgColor rgb="FFFFFF00"/>
        <bgColor rgb="FFFDEADA"/>
      </patternFill>
    </fill>
    <fill>
      <patternFill patternType="solid">
        <fgColor rgb="FFFFFF00"/>
        <bgColor rgb="FF993300"/>
      </patternFill>
    </fill>
    <fill>
      <patternFill patternType="solid">
        <fgColor rgb="FF8EA9DB"/>
        <bgColor rgb="FFFDEADA"/>
      </patternFill>
    </fill>
    <fill>
      <patternFill patternType="solid">
        <fgColor rgb="FFB4C6E7"/>
        <bgColor rgb="FFF2F2F2"/>
      </patternFill>
    </fill>
    <fill>
      <patternFill patternType="solid">
        <fgColor theme="4" tint="-0.249977111117893"/>
        <bgColor rgb="FFFDEADA"/>
      </patternFill>
    </fill>
    <fill>
      <patternFill patternType="solid">
        <fgColor theme="4" tint="-0.249977111117893"/>
        <bgColor rgb="FFF2F2F2"/>
      </patternFill>
    </fill>
    <fill>
      <patternFill patternType="solid">
        <fgColor theme="4" tint="0.59999389629810485"/>
        <bgColor rgb="FFFDEADA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/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 style="thin">
        <color rgb="FFF2F2F2"/>
      </right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2" fillId="0" borderId="0" applyBorder="0" applyProtection="0"/>
    <xf numFmtId="44" fontId="15" fillId="0" borderId="0" applyFont="0" applyFill="0" applyBorder="0" applyAlignment="0" applyProtection="0"/>
    <xf numFmtId="0" fontId="17" fillId="0" borderId="0"/>
    <xf numFmtId="0" fontId="22" fillId="0" borderId="0"/>
    <xf numFmtId="9" fontId="15" fillId="0" borderId="0" applyFont="0" applyFill="0" applyBorder="0" applyAlignment="0" applyProtection="0"/>
  </cellStyleXfs>
  <cellXfs count="375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4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4" fillId="6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4" fontId="4" fillId="3" borderId="0" xfId="0" applyNumberFormat="1" applyFont="1" applyFill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7" fillId="0" borderId="0" xfId="3"/>
    <xf numFmtId="0" fontId="19" fillId="8" borderId="0" xfId="3" applyFont="1" applyFill="1" applyAlignment="1">
      <alignment horizontal="center"/>
    </xf>
    <xf numFmtId="0" fontId="18" fillId="8" borderId="0" xfId="3" applyFont="1" applyFill="1" applyAlignment="1">
      <alignment horizontal="center"/>
    </xf>
    <xf numFmtId="0" fontId="18" fillId="0" borderId="0" xfId="3" applyFont="1"/>
    <xf numFmtId="0" fontId="21" fillId="8" borderId="0" xfId="3" applyFont="1" applyFill="1"/>
    <xf numFmtId="0" fontId="18" fillId="8" borderId="0" xfId="3" applyFont="1" applyFill="1"/>
    <xf numFmtId="0" fontId="21" fillId="0" borderId="0" xfId="3" applyFont="1"/>
    <xf numFmtId="0" fontId="20" fillId="0" borderId="0" xfId="3" applyFont="1"/>
    <xf numFmtId="0" fontId="28" fillId="0" borderId="1" xfId="3" applyFont="1" applyBorder="1" applyAlignment="1">
      <alignment horizontal="center"/>
    </xf>
    <xf numFmtId="0" fontId="28" fillId="0" borderId="1" xfId="3" applyFont="1" applyBorder="1"/>
    <xf numFmtId="10" fontId="28" fillId="9" borderId="1" xfId="3" applyNumberFormat="1" applyFont="1" applyFill="1" applyBorder="1" applyAlignment="1">
      <alignment horizontal="center"/>
    </xf>
    <xf numFmtId="10" fontId="1" fillId="0" borderId="1" xfId="3" applyNumberFormat="1" applyFont="1" applyBorder="1" applyAlignment="1">
      <alignment horizontal="center"/>
    </xf>
    <xf numFmtId="0" fontId="16" fillId="0" borderId="0" xfId="4" applyFont="1"/>
    <xf numFmtId="0" fontId="16" fillId="0" borderId="0" xfId="4" applyFont="1" applyAlignment="1">
      <alignment horizontal="justify" vertical="center"/>
    </xf>
    <xf numFmtId="0" fontId="25" fillId="8" borderId="0" xfId="3" applyFont="1" applyFill="1" applyAlignment="1">
      <alignment horizontal="center"/>
    </xf>
    <xf numFmtId="0" fontId="26" fillId="0" borderId="0" xfId="3" applyFont="1" applyAlignment="1">
      <alignment horizontal="center"/>
    </xf>
    <xf numFmtId="0" fontId="29" fillId="8" borderId="0" xfId="3" applyFont="1" applyFill="1" applyAlignment="1">
      <alignment horizontal="center" wrapText="1"/>
    </xf>
    <xf numFmtId="0" fontId="26" fillId="0" borderId="0" xfId="3" applyFont="1" applyAlignment="1">
      <alignment horizontal="left"/>
    </xf>
    <xf numFmtId="0" fontId="16" fillId="7" borderId="0" xfId="4" applyFont="1" applyFill="1" applyAlignment="1">
      <alignment horizontal="justify" vertical="center"/>
    </xf>
    <xf numFmtId="0" fontId="16" fillId="7" borderId="0" xfId="4" applyFont="1" applyFill="1"/>
    <xf numFmtId="0" fontId="33" fillId="7" borderId="0" xfId="4" applyFont="1" applyFill="1" applyAlignment="1">
      <alignment horizontal="justify" vertical="center"/>
    </xf>
    <xf numFmtId="0" fontId="33" fillId="7" borderId="0" xfId="4" applyFont="1" applyFill="1"/>
    <xf numFmtId="0" fontId="22" fillId="0" borderId="0" xfId="4"/>
    <xf numFmtId="0" fontId="36" fillId="0" borderId="0" xfId="4" applyFont="1" applyAlignment="1">
      <alignment horizontal="justify" vertical="center"/>
    </xf>
    <xf numFmtId="0" fontId="16" fillId="0" borderId="10" xfId="4" applyFont="1" applyBorder="1" applyAlignment="1">
      <alignment horizontal="center" vertical="center"/>
    </xf>
    <xf numFmtId="0" fontId="28" fillId="0" borderId="10" xfId="4" applyFont="1" applyBorder="1" applyAlignment="1">
      <alignment horizontal="justify" vertical="center" wrapText="1"/>
    </xf>
    <xf numFmtId="4" fontId="16" fillId="0" borderId="10" xfId="4" applyNumberFormat="1" applyFont="1" applyBorder="1" applyAlignment="1">
      <alignment vertical="center"/>
    </xf>
    <xf numFmtId="0" fontId="16" fillId="0" borderId="10" xfId="4" applyFont="1" applyBorder="1" applyAlignment="1">
      <alignment horizontal="justify" vertical="center" wrapText="1"/>
    </xf>
    <xf numFmtId="0" fontId="23" fillId="0" borderId="10" xfId="4" applyFont="1" applyBorder="1" applyAlignment="1">
      <alignment horizontal="center" vertical="center" wrapText="1"/>
    </xf>
    <xf numFmtId="4" fontId="16" fillId="0" borderId="10" xfId="4" applyNumberFormat="1" applyFont="1" applyBorder="1" applyAlignment="1">
      <alignment horizontal="right" vertical="center" wrapText="1"/>
    </xf>
    <xf numFmtId="0" fontId="16" fillId="0" borderId="10" xfId="4" applyFont="1" applyBorder="1" applyAlignment="1">
      <alignment horizontal="center" vertical="center" wrapText="1"/>
    </xf>
    <xf numFmtId="0" fontId="16" fillId="0" borderId="10" xfId="4" applyFont="1" applyBorder="1" applyAlignment="1">
      <alignment horizontal="justify" vertical="center"/>
    </xf>
    <xf numFmtId="0" fontId="28" fillId="0" borderId="10" xfId="4" applyFont="1" applyBorder="1" applyAlignment="1">
      <alignment horizontal="justify" vertical="center"/>
    </xf>
    <xf numFmtId="4" fontId="16" fillId="0" borderId="10" xfId="4" applyNumberFormat="1" applyFont="1" applyBorder="1" applyAlignment="1">
      <alignment horizontal="right" vertical="center"/>
    </xf>
    <xf numFmtId="0" fontId="1" fillId="7" borderId="10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center" vertical="center"/>
    </xf>
    <xf numFmtId="0" fontId="28" fillId="0" borderId="0" xfId="4" applyFont="1" applyAlignment="1">
      <alignment horizontal="justify" vertical="center" wrapText="1"/>
    </xf>
    <xf numFmtId="4" fontId="16" fillId="0" borderId="0" xfId="4" applyNumberFormat="1" applyFont="1" applyAlignment="1">
      <alignment vertical="center"/>
    </xf>
    <xf numFmtId="0" fontId="1" fillId="7" borderId="12" xfId="4" applyFont="1" applyFill="1" applyBorder="1" applyAlignment="1">
      <alignment horizontal="center" vertical="center" wrapText="1"/>
    </xf>
    <xf numFmtId="4" fontId="16" fillId="7" borderId="0" xfId="4" applyNumberFormat="1" applyFont="1" applyFill="1"/>
    <xf numFmtId="4" fontId="33" fillId="7" borderId="0" xfId="4" applyNumberFormat="1" applyFont="1" applyFill="1"/>
    <xf numFmtId="10" fontId="16" fillId="7" borderId="0" xfId="5" applyNumberFormat="1" applyFont="1" applyFill="1"/>
    <xf numFmtId="2" fontId="0" fillId="11" borderId="1" xfId="0" applyNumberForma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38" fillId="13" borderId="0" xfId="0" applyFont="1" applyFill="1"/>
    <xf numFmtId="166" fontId="39" fillId="13" borderId="0" xfId="0" applyNumberFormat="1" applyFont="1" applyFill="1" applyAlignment="1">
      <alignment horizontal="center" vertical="center" wrapText="1"/>
    </xf>
    <xf numFmtId="0" fontId="39" fillId="13" borderId="0" xfId="0" applyFont="1" applyFill="1" applyAlignment="1">
      <alignment horizontal="left" vertical="center" wrapText="1"/>
    </xf>
    <xf numFmtId="0" fontId="40" fillId="13" borderId="0" xfId="0" applyFont="1" applyFill="1" applyAlignment="1">
      <alignment horizontal="left" vertical="center"/>
    </xf>
    <xf numFmtId="0" fontId="41" fillId="13" borderId="0" xfId="0" applyFont="1" applyFill="1"/>
    <xf numFmtId="3" fontId="38" fillId="14" borderId="13" xfId="0" applyNumberFormat="1" applyFont="1" applyFill="1" applyBorder="1" applyAlignment="1">
      <alignment horizontal="right" vertical="center" wrapText="1"/>
    </xf>
    <xf numFmtId="0" fontId="38" fillId="14" borderId="13" xfId="0" applyFont="1" applyFill="1" applyBorder="1" applyAlignment="1">
      <alignment horizontal="left" vertical="center" wrapText="1"/>
    </xf>
    <xf numFmtId="0" fontId="42" fillId="15" borderId="13" xfId="0" applyFont="1" applyFill="1" applyBorder="1" applyAlignment="1">
      <alignment horizontal="center" vertical="center"/>
    </xf>
    <xf numFmtId="3" fontId="38" fillId="16" borderId="13" xfId="0" applyNumberFormat="1" applyFont="1" applyFill="1" applyBorder="1" applyAlignment="1">
      <alignment horizontal="right" vertical="center" wrapText="1"/>
    </xf>
    <xf numFmtId="0" fontId="42" fillId="15" borderId="13" xfId="0" applyFont="1" applyFill="1" applyBorder="1" applyAlignment="1">
      <alignment horizontal="center" vertical="center" wrapText="1"/>
    </xf>
    <xf numFmtId="166" fontId="43" fillId="13" borderId="0" xfId="0" applyNumberFormat="1" applyFont="1" applyFill="1" applyAlignment="1">
      <alignment horizontal="center" vertical="center" wrapText="1"/>
    </xf>
    <xf numFmtId="0" fontId="43" fillId="13" borderId="0" xfId="0" applyFont="1" applyFill="1" applyAlignment="1">
      <alignment horizontal="center" vertical="center" wrapText="1"/>
    </xf>
    <xf numFmtId="0" fontId="43" fillId="13" borderId="0" xfId="0" applyFont="1" applyFill="1" applyAlignment="1">
      <alignment horizontal="left" vertical="center" wrapText="1"/>
    </xf>
    <xf numFmtId="0" fontId="44" fillId="13" borderId="0" xfId="0" applyFont="1" applyFill="1" applyAlignment="1">
      <alignment horizontal="left"/>
    </xf>
    <xf numFmtId="166" fontId="38" fillId="14" borderId="13" xfId="0" applyNumberFormat="1" applyFont="1" applyFill="1" applyBorder="1" applyAlignment="1">
      <alignment horizontal="right" vertical="center" wrapText="1"/>
    </xf>
    <xf numFmtId="0" fontId="45" fillId="13" borderId="0" xfId="0" applyFont="1" applyFill="1"/>
    <xf numFmtId="167" fontId="38" fillId="16" borderId="13" xfId="0" applyNumberFormat="1" applyFont="1" applyFill="1" applyBorder="1" applyAlignment="1">
      <alignment horizontal="right" vertical="center" wrapText="1"/>
    </xf>
    <xf numFmtId="167" fontId="38" fillId="14" borderId="13" xfId="0" applyNumberFormat="1" applyFont="1" applyFill="1" applyBorder="1" applyAlignment="1">
      <alignment horizontal="right" vertical="center" wrapText="1"/>
    </xf>
    <xf numFmtId="166" fontId="38" fillId="16" borderId="13" xfId="0" applyNumberFormat="1" applyFont="1" applyFill="1" applyBorder="1" applyAlignment="1">
      <alignment horizontal="right" vertical="center" wrapText="1"/>
    </xf>
    <xf numFmtId="0" fontId="38" fillId="14" borderId="13" xfId="0" applyFont="1" applyFill="1" applyBorder="1" applyAlignment="1">
      <alignment horizontal="center"/>
    </xf>
    <xf numFmtId="0" fontId="42" fillId="15" borderId="14" xfId="0" applyFont="1" applyFill="1" applyBorder="1" applyAlignment="1">
      <alignment horizontal="center" vertical="center"/>
    </xf>
    <xf numFmtId="168" fontId="38" fillId="16" borderId="13" xfId="0" applyNumberFormat="1" applyFont="1" applyFill="1" applyBorder="1" applyAlignment="1">
      <alignment horizontal="right" vertical="center" wrapText="1"/>
    </xf>
    <xf numFmtId="168" fontId="38" fillId="14" borderId="13" xfId="0" applyNumberFormat="1" applyFont="1" applyFill="1" applyBorder="1" applyAlignment="1">
      <alignment horizontal="right" vertical="center" wrapText="1"/>
    </xf>
    <xf numFmtId="166" fontId="38" fillId="13" borderId="0" xfId="0" applyNumberFormat="1" applyFont="1" applyFill="1" applyAlignment="1">
      <alignment horizontal="right"/>
    </xf>
    <xf numFmtId="0" fontId="46" fillId="13" borderId="0" xfId="0" applyFont="1" applyFill="1"/>
    <xf numFmtId="166" fontId="38" fillId="13" borderId="0" xfId="0" applyNumberFormat="1" applyFont="1" applyFill="1" applyAlignment="1">
      <alignment horizontal="center"/>
    </xf>
    <xf numFmtId="2" fontId="38" fillId="16" borderId="13" xfId="0" applyNumberFormat="1" applyFont="1" applyFill="1" applyBorder="1" applyAlignment="1">
      <alignment horizontal="center" vertical="center" wrapText="1"/>
    </xf>
    <xf numFmtId="2" fontId="38" fillId="14" borderId="13" xfId="0" applyNumberFormat="1" applyFont="1" applyFill="1" applyBorder="1" applyAlignment="1">
      <alignment horizontal="center" vertical="center"/>
    </xf>
    <xf numFmtId="2" fontId="38" fillId="14" borderId="13" xfId="0" applyNumberFormat="1" applyFont="1" applyFill="1" applyBorder="1" applyAlignment="1">
      <alignment horizontal="center" vertical="center" wrapText="1"/>
    </xf>
    <xf numFmtId="2" fontId="42" fillId="15" borderId="13" xfId="0" applyNumberFormat="1" applyFont="1" applyFill="1" applyBorder="1" applyAlignment="1">
      <alignment horizontal="center" vertical="center"/>
    </xf>
    <xf numFmtId="0" fontId="38" fillId="13" borderId="0" xfId="0" applyFont="1" applyFill="1" applyAlignment="1">
      <alignment vertical="center" wrapText="1"/>
    </xf>
    <xf numFmtId="169" fontId="47" fillId="18" borderId="16" xfId="0" applyNumberFormat="1" applyFont="1" applyFill="1" applyBorder="1" applyAlignment="1">
      <alignment horizontal="right"/>
    </xf>
    <xf numFmtId="169" fontId="47" fillId="18" borderId="16" xfId="0" applyNumberFormat="1" applyFont="1" applyFill="1" applyBorder="1"/>
    <xf numFmtId="0" fontId="38" fillId="17" borderId="13" xfId="0" applyFont="1" applyFill="1" applyBorder="1" applyAlignment="1">
      <alignment horizontal="center"/>
    </xf>
    <xf numFmtId="49" fontId="38" fillId="18" borderId="13" xfId="0" applyNumberFormat="1" applyFont="1" applyFill="1" applyBorder="1" applyAlignment="1">
      <alignment horizontal="center"/>
    </xf>
    <xf numFmtId="0" fontId="42" fillId="20" borderId="13" xfId="0" applyFont="1" applyFill="1" applyBorder="1" applyAlignment="1">
      <alignment horizontal="center"/>
    </xf>
    <xf numFmtId="169" fontId="38" fillId="17" borderId="13" xfId="0" applyNumberFormat="1" applyFont="1" applyFill="1" applyBorder="1" applyAlignment="1">
      <alignment horizontal="center"/>
    </xf>
    <xf numFmtId="0" fontId="42" fillId="20" borderId="13" xfId="0" applyFont="1" applyFill="1" applyBorder="1" applyAlignment="1">
      <alignment horizontal="center" vertical="center"/>
    </xf>
    <xf numFmtId="0" fontId="38" fillId="18" borderId="13" xfId="0" applyFont="1" applyFill="1" applyBorder="1" applyAlignment="1">
      <alignment horizontal="justify" vertical="center" wrapText="1"/>
    </xf>
    <xf numFmtId="0" fontId="38" fillId="18" borderId="13" xfId="0" applyFont="1" applyFill="1" applyBorder="1" applyAlignment="1">
      <alignment horizontal="center"/>
    </xf>
    <xf numFmtId="0" fontId="48" fillId="13" borderId="0" xfId="0" applyFont="1" applyFill="1" applyAlignment="1">
      <alignment vertical="center"/>
    </xf>
    <xf numFmtId="0" fontId="38" fillId="13" borderId="0" xfId="0" applyFont="1" applyFill="1" applyAlignment="1">
      <alignment vertical="top"/>
    </xf>
    <xf numFmtId="0" fontId="45" fillId="13" borderId="0" xfId="0" applyFont="1" applyFill="1" applyAlignment="1">
      <alignment vertical="top"/>
    </xf>
    <xf numFmtId="0" fontId="38" fillId="18" borderId="13" xfId="0" applyFont="1" applyFill="1" applyBorder="1"/>
    <xf numFmtId="0" fontId="38" fillId="17" borderId="13" xfId="0" applyFont="1" applyFill="1" applyBorder="1"/>
    <xf numFmtId="14" fontId="38" fillId="18" borderId="13" xfId="0" applyNumberFormat="1" applyFont="1" applyFill="1" applyBorder="1" applyAlignment="1">
      <alignment horizontal="center"/>
    </xf>
    <xf numFmtId="0" fontId="39" fillId="13" borderId="0" xfId="0" applyFont="1" applyFill="1"/>
    <xf numFmtId="0" fontId="43" fillId="13" borderId="0" xfId="0" applyFont="1" applyFill="1" applyAlignment="1">
      <alignment horizontal="left"/>
    </xf>
    <xf numFmtId="0" fontId="42" fillId="20" borderId="13" xfId="0" applyFont="1" applyFill="1" applyBorder="1" applyAlignment="1">
      <alignment horizontal="center" vertical="center" wrapText="1"/>
    </xf>
    <xf numFmtId="4" fontId="38" fillId="17" borderId="13" xfId="0" applyNumberFormat="1" applyFont="1" applyFill="1" applyBorder="1" applyAlignment="1">
      <alignment horizontal="right" vertical="center" wrapText="1"/>
    </xf>
    <xf numFmtId="4" fontId="38" fillId="18" borderId="13" xfId="0" applyNumberFormat="1" applyFont="1" applyFill="1" applyBorder="1" applyAlignment="1">
      <alignment horizontal="right" vertical="center" wrapText="1"/>
    </xf>
    <xf numFmtId="4" fontId="42" fillId="20" borderId="13" xfId="0" applyNumberFormat="1" applyFont="1" applyFill="1" applyBorder="1" applyAlignment="1">
      <alignment horizontal="right" vertical="center" wrapText="1"/>
    </xf>
    <xf numFmtId="2" fontId="38" fillId="17" borderId="13" xfId="0" applyNumberFormat="1" applyFont="1" applyFill="1" applyBorder="1" applyAlignment="1">
      <alignment horizontal="center" vertical="center" wrapText="1"/>
    </xf>
    <xf numFmtId="166" fontId="38" fillId="17" borderId="13" xfId="0" applyNumberFormat="1" applyFont="1" applyFill="1" applyBorder="1" applyAlignment="1">
      <alignment horizontal="right" vertical="center" wrapText="1"/>
    </xf>
    <xf numFmtId="2" fontId="38" fillId="18" borderId="13" xfId="0" applyNumberFormat="1" applyFont="1" applyFill="1" applyBorder="1" applyAlignment="1">
      <alignment horizontal="center" vertical="center"/>
    </xf>
    <xf numFmtId="166" fontId="38" fillId="18" borderId="13" xfId="0" applyNumberFormat="1" applyFont="1" applyFill="1" applyBorder="1" applyAlignment="1">
      <alignment horizontal="right" vertical="center" wrapText="1"/>
    </xf>
    <xf numFmtId="4" fontId="42" fillId="20" borderId="13" xfId="0" applyNumberFormat="1" applyFont="1" applyFill="1" applyBorder="1" applyAlignment="1">
      <alignment horizontal="right"/>
    </xf>
    <xf numFmtId="2" fontId="38" fillId="18" borderId="13" xfId="0" applyNumberFormat="1" applyFont="1" applyFill="1" applyBorder="1" applyAlignment="1">
      <alignment horizontal="center" vertical="center" wrapText="1"/>
    </xf>
    <xf numFmtId="4" fontId="42" fillId="20" borderId="13" xfId="0" applyNumberFormat="1" applyFont="1" applyFill="1" applyBorder="1" applyAlignment="1">
      <alignment horizontal="right" vertical="center"/>
    </xf>
    <xf numFmtId="0" fontId="51" fillId="13" borderId="0" xfId="0" applyFont="1" applyFill="1"/>
    <xf numFmtId="0" fontId="48" fillId="13" borderId="0" xfId="0" applyFont="1" applyFill="1" applyAlignment="1">
      <alignment horizontal="left" vertical="center"/>
    </xf>
    <xf numFmtId="0" fontId="38" fillId="13" borderId="0" xfId="0" applyFont="1" applyFill="1" applyAlignment="1">
      <alignment horizontal="center"/>
    </xf>
    <xf numFmtId="165" fontId="38" fillId="18" borderId="13" xfId="0" applyNumberFormat="1" applyFont="1" applyFill="1" applyBorder="1" applyAlignment="1">
      <alignment horizontal="center" vertical="center" wrapText="1"/>
    </xf>
    <xf numFmtId="0" fontId="42" fillId="20" borderId="20" xfId="0" applyFont="1" applyFill="1" applyBorder="1" applyAlignment="1">
      <alignment horizontal="center" vertical="center"/>
    </xf>
    <xf numFmtId="0" fontId="42" fillId="20" borderId="20" xfId="0" applyFont="1" applyFill="1" applyBorder="1" applyAlignment="1">
      <alignment horizontal="center" vertical="center" wrapText="1"/>
    </xf>
    <xf numFmtId="0" fontId="42" fillId="20" borderId="20" xfId="0" applyFont="1" applyFill="1" applyBorder="1" applyAlignment="1">
      <alignment horizontal="center"/>
    </xf>
    <xf numFmtId="166" fontId="38" fillId="17" borderId="20" xfId="0" applyNumberFormat="1" applyFont="1" applyFill="1" applyBorder="1" applyAlignment="1">
      <alignment horizontal="right" vertical="center" wrapText="1"/>
    </xf>
    <xf numFmtId="166" fontId="38" fillId="18" borderId="20" xfId="0" applyNumberFormat="1" applyFont="1" applyFill="1" applyBorder="1" applyAlignment="1">
      <alignment horizontal="right" vertical="center" wrapText="1"/>
    </xf>
    <xf numFmtId="4" fontId="42" fillId="20" borderId="20" xfId="0" applyNumberFormat="1" applyFont="1" applyFill="1" applyBorder="1" applyAlignment="1">
      <alignment horizontal="right" vertical="center" wrapText="1"/>
    </xf>
    <xf numFmtId="166" fontId="38" fillId="17" borderId="13" xfId="0" applyNumberFormat="1" applyFont="1" applyFill="1" applyBorder="1" applyAlignment="1">
      <alignment horizontal="center" vertical="center" wrapText="1"/>
    </xf>
    <xf numFmtId="166" fontId="38" fillId="18" borderId="13" xfId="0" applyNumberFormat="1" applyFont="1" applyFill="1" applyBorder="1" applyAlignment="1">
      <alignment horizontal="center" vertical="center" wrapText="1"/>
    </xf>
    <xf numFmtId="10" fontId="38" fillId="17" borderId="13" xfId="0" applyNumberFormat="1" applyFont="1" applyFill="1" applyBorder="1" applyAlignment="1">
      <alignment horizontal="center" vertical="center" wrapText="1"/>
    </xf>
    <xf numFmtId="0" fontId="52" fillId="20" borderId="13" xfId="0" applyFont="1" applyFill="1" applyBorder="1" applyAlignment="1">
      <alignment horizontal="center" vertical="center" wrapText="1"/>
    </xf>
    <xf numFmtId="10" fontId="53" fillId="18" borderId="13" xfId="0" applyNumberFormat="1" applyFont="1" applyFill="1" applyBorder="1" applyAlignment="1">
      <alignment horizontal="center" vertical="center" wrapText="1"/>
    </xf>
    <xf numFmtId="166" fontId="53" fillId="18" borderId="13" xfId="0" applyNumberFormat="1" applyFont="1" applyFill="1" applyBorder="1" applyAlignment="1">
      <alignment horizontal="right" vertical="center" wrapText="1"/>
    </xf>
    <xf numFmtId="10" fontId="53" fillId="17" borderId="13" xfId="0" applyNumberFormat="1" applyFont="1" applyFill="1" applyBorder="1" applyAlignment="1">
      <alignment horizontal="center" vertical="center" wrapText="1"/>
    </xf>
    <xf numFmtId="166" fontId="53" fillId="17" borderId="13" xfId="0" applyNumberFormat="1" applyFont="1" applyFill="1" applyBorder="1" applyAlignment="1">
      <alignment horizontal="right" vertical="center" wrapText="1"/>
    </xf>
    <xf numFmtId="0" fontId="41" fillId="13" borderId="0" xfId="0" applyFont="1" applyFill="1" applyAlignment="1">
      <alignment wrapText="1"/>
    </xf>
    <xf numFmtId="166" fontId="42" fillId="20" borderId="13" xfId="0" applyNumberFormat="1" applyFont="1" applyFill="1" applyBorder="1" applyAlignment="1">
      <alignment horizontal="right" vertical="center" wrapText="1"/>
    </xf>
    <xf numFmtId="0" fontId="54" fillId="13" borderId="0" xfId="0" applyFont="1" applyFill="1" applyAlignment="1">
      <alignment horizontal="left" vertical="center"/>
    </xf>
    <xf numFmtId="0" fontId="38" fillId="13" borderId="0" xfId="0" applyFont="1" applyFill="1" applyAlignment="1">
      <alignment horizontal="left" vertical="center" wrapText="1"/>
    </xf>
    <xf numFmtId="166" fontId="38" fillId="13" borderId="0" xfId="0" applyNumberFormat="1" applyFont="1" applyFill="1" applyAlignment="1">
      <alignment horizontal="center" vertical="center" wrapText="1"/>
    </xf>
    <xf numFmtId="0" fontId="41" fillId="13" borderId="0" xfId="0" applyFont="1" applyFill="1" applyAlignment="1">
      <alignment horizontal="center" wrapText="1"/>
    </xf>
    <xf numFmtId="0" fontId="38" fillId="13" borderId="0" xfId="0" applyFont="1" applyFill="1" applyAlignment="1">
      <alignment wrapText="1"/>
    </xf>
    <xf numFmtId="166" fontId="42" fillId="20" borderId="21" xfId="0" applyNumberFormat="1" applyFont="1" applyFill="1" applyBorder="1" applyAlignment="1">
      <alignment horizontal="right" vertical="center" wrapText="1"/>
    </xf>
    <xf numFmtId="166" fontId="42" fillId="13" borderId="0" xfId="0" applyNumberFormat="1" applyFont="1" applyFill="1" applyAlignment="1">
      <alignment horizontal="right" vertical="center" wrapText="1"/>
    </xf>
    <xf numFmtId="169" fontId="47" fillId="21" borderId="16" xfId="0" applyNumberFormat="1" applyFont="1" applyFill="1" applyBorder="1"/>
    <xf numFmtId="0" fontId="42" fillId="19" borderId="13" xfId="0" applyFont="1" applyFill="1" applyBorder="1" applyAlignment="1">
      <alignment horizontal="center"/>
    </xf>
    <xf numFmtId="169" fontId="38" fillId="22" borderId="13" xfId="0" applyNumberFormat="1" applyFont="1" applyFill="1" applyBorder="1" applyAlignment="1">
      <alignment horizontal="center"/>
    </xf>
    <xf numFmtId="0" fontId="42" fillId="19" borderId="13" xfId="0" applyFont="1" applyFill="1" applyBorder="1" applyAlignment="1">
      <alignment horizontal="center" vertical="center"/>
    </xf>
    <xf numFmtId="169" fontId="38" fillId="18" borderId="13" xfId="0" applyNumberFormat="1" applyFont="1" applyFill="1" applyBorder="1" applyAlignment="1">
      <alignment horizontal="center"/>
    </xf>
    <xf numFmtId="0" fontId="42" fillId="19" borderId="13" xfId="0" applyFont="1" applyFill="1" applyBorder="1" applyAlignment="1">
      <alignment horizontal="center" vertical="center" wrapText="1"/>
    </xf>
    <xf numFmtId="4" fontId="38" fillId="22" borderId="13" xfId="0" applyNumberFormat="1" applyFont="1" applyFill="1" applyBorder="1" applyAlignment="1">
      <alignment horizontal="right" vertical="center" wrapText="1"/>
    </xf>
    <xf numFmtId="4" fontId="38" fillId="21" borderId="13" xfId="0" applyNumberFormat="1" applyFont="1" applyFill="1" applyBorder="1" applyAlignment="1">
      <alignment horizontal="right" vertical="center" wrapText="1"/>
    </xf>
    <xf numFmtId="4" fontId="43" fillId="23" borderId="13" xfId="0" applyNumberFormat="1" applyFont="1" applyFill="1" applyBorder="1" applyAlignment="1">
      <alignment horizontal="right" vertical="center" wrapText="1"/>
    </xf>
    <xf numFmtId="166" fontId="38" fillId="22" borderId="13" xfId="0" applyNumberFormat="1" applyFont="1" applyFill="1" applyBorder="1" applyAlignment="1">
      <alignment horizontal="right" vertical="center" wrapText="1"/>
    </xf>
    <xf numFmtId="166" fontId="38" fillId="21" borderId="13" xfId="0" applyNumberFormat="1" applyFont="1" applyFill="1" applyBorder="1" applyAlignment="1">
      <alignment horizontal="right" vertical="center" wrapText="1"/>
    </xf>
    <xf numFmtId="4" fontId="43" fillId="23" borderId="13" xfId="0" applyNumberFormat="1" applyFont="1" applyFill="1" applyBorder="1" applyAlignment="1">
      <alignment horizontal="right"/>
    </xf>
    <xf numFmtId="2" fontId="38" fillId="22" borderId="13" xfId="0" applyNumberFormat="1" applyFont="1" applyFill="1" applyBorder="1" applyAlignment="1">
      <alignment horizontal="center" vertical="center" wrapText="1"/>
    </xf>
    <xf numFmtId="2" fontId="38" fillId="21" borderId="13" xfId="0" applyNumberFormat="1" applyFont="1" applyFill="1" applyBorder="1" applyAlignment="1">
      <alignment horizontal="center" vertical="center" wrapText="1"/>
    </xf>
    <xf numFmtId="2" fontId="38" fillId="21" borderId="13" xfId="0" applyNumberFormat="1" applyFont="1" applyFill="1" applyBorder="1" applyAlignment="1">
      <alignment horizontal="center" vertical="center"/>
    </xf>
    <xf numFmtId="4" fontId="43" fillId="23" borderId="13" xfId="0" applyNumberFormat="1" applyFont="1" applyFill="1" applyBorder="1" applyAlignment="1">
      <alignment horizontal="right" vertical="center"/>
    </xf>
    <xf numFmtId="165" fontId="38" fillId="21" borderId="13" xfId="0" applyNumberFormat="1" applyFont="1" applyFill="1" applyBorder="1" applyAlignment="1">
      <alignment horizontal="center" vertical="center" wrapText="1"/>
    </xf>
    <xf numFmtId="0" fontId="42" fillId="19" borderId="20" xfId="0" applyFont="1" applyFill="1" applyBorder="1" applyAlignment="1">
      <alignment horizontal="center" vertical="center"/>
    </xf>
    <xf numFmtId="0" fontId="42" fillId="19" borderId="20" xfId="0" applyFont="1" applyFill="1" applyBorder="1" applyAlignment="1">
      <alignment horizontal="center" vertical="center" wrapText="1"/>
    </xf>
    <xf numFmtId="0" fontId="42" fillId="19" borderId="20" xfId="0" applyFont="1" applyFill="1" applyBorder="1" applyAlignment="1">
      <alignment horizontal="center"/>
    </xf>
    <xf numFmtId="166" fontId="38" fillId="22" borderId="20" xfId="0" applyNumberFormat="1" applyFont="1" applyFill="1" applyBorder="1" applyAlignment="1">
      <alignment horizontal="right" vertical="center" wrapText="1"/>
    </xf>
    <xf numFmtId="166" fontId="38" fillId="21" borderId="20" xfId="0" applyNumberFormat="1" applyFont="1" applyFill="1" applyBorder="1" applyAlignment="1">
      <alignment horizontal="right" vertical="center" wrapText="1"/>
    </xf>
    <xf numFmtId="4" fontId="43" fillId="23" borderId="20" xfId="0" applyNumberFormat="1" applyFont="1" applyFill="1" applyBorder="1" applyAlignment="1">
      <alignment horizontal="right" vertical="center" wrapText="1"/>
    </xf>
    <xf numFmtId="10" fontId="38" fillId="22" borderId="13" xfId="0" applyNumberFormat="1" applyFont="1" applyFill="1" applyBorder="1" applyAlignment="1">
      <alignment horizontal="center" vertical="center" wrapText="1"/>
    </xf>
    <xf numFmtId="0" fontId="52" fillId="19" borderId="13" xfId="0" applyFont="1" applyFill="1" applyBorder="1" applyAlignment="1">
      <alignment horizontal="center" vertical="center" wrapText="1"/>
    </xf>
    <xf numFmtId="10" fontId="53" fillId="21" borderId="13" xfId="0" applyNumberFormat="1" applyFont="1" applyFill="1" applyBorder="1" applyAlignment="1">
      <alignment horizontal="center" vertical="center" wrapText="1"/>
    </xf>
    <xf numFmtId="166" fontId="53" fillId="21" borderId="13" xfId="0" applyNumberFormat="1" applyFont="1" applyFill="1" applyBorder="1" applyAlignment="1">
      <alignment horizontal="right" vertical="center" wrapText="1"/>
    </xf>
    <xf numFmtId="10" fontId="53" fillId="22" borderId="13" xfId="0" applyNumberFormat="1" applyFont="1" applyFill="1" applyBorder="1" applyAlignment="1">
      <alignment horizontal="center" vertical="center" wrapText="1"/>
    </xf>
    <xf numFmtId="166" fontId="53" fillId="22" borderId="13" xfId="0" applyNumberFormat="1" applyFont="1" applyFill="1" applyBorder="1" applyAlignment="1">
      <alignment horizontal="right" vertical="center" wrapText="1"/>
    </xf>
    <xf numFmtId="166" fontId="43" fillId="23" borderId="13" xfId="0" applyNumberFormat="1" applyFont="1" applyFill="1" applyBorder="1" applyAlignment="1">
      <alignment horizontal="right" vertical="center" wrapText="1"/>
    </xf>
    <xf numFmtId="166" fontId="43" fillId="23" borderId="2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/>
    </xf>
    <xf numFmtId="2" fontId="38" fillId="17" borderId="13" xfId="0" applyNumberFormat="1" applyFont="1" applyFill="1" applyBorder="1" applyAlignment="1">
      <alignment horizontal="center" wrapText="1"/>
    </xf>
    <xf numFmtId="164" fontId="38" fillId="17" borderId="13" xfId="0" applyNumberFormat="1" applyFont="1" applyFill="1" applyBorder="1" applyAlignment="1">
      <alignment horizontal="center" vertical="center"/>
    </xf>
    <xf numFmtId="2" fontId="38" fillId="28" borderId="13" xfId="0" applyNumberFormat="1" applyFont="1" applyFill="1" applyBorder="1" applyAlignment="1">
      <alignment horizontal="center" wrapText="1"/>
    </xf>
    <xf numFmtId="164" fontId="38" fillId="28" borderId="13" xfId="0" applyNumberFormat="1" applyFont="1" applyFill="1" applyBorder="1" applyAlignment="1">
      <alignment horizontal="center" vertical="center"/>
    </xf>
    <xf numFmtId="2" fontId="43" fillId="26" borderId="13" xfId="0" applyNumberFormat="1" applyFont="1" applyFill="1" applyBorder="1" applyAlignment="1">
      <alignment horizontal="center" wrapText="1"/>
    </xf>
    <xf numFmtId="0" fontId="17" fillId="8" borderId="0" xfId="3" applyFill="1" applyAlignment="1">
      <alignment horizontal="center"/>
    </xf>
    <xf numFmtId="10" fontId="38" fillId="17" borderId="13" xfId="5" applyNumberFormat="1" applyFont="1" applyFill="1" applyBorder="1" applyAlignment="1">
      <alignment horizontal="center" vertical="center" wrapText="1"/>
    </xf>
    <xf numFmtId="10" fontId="38" fillId="18" borderId="13" xfId="5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164" fontId="0" fillId="4" borderId="2" xfId="0" applyNumberFormat="1" applyFill="1" applyBorder="1" applyAlignment="1">
      <alignment horizontal="center" vertical="center" wrapText="1"/>
    </xf>
    <xf numFmtId="164" fontId="0" fillId="4" borderId="3" xfId="0" applyNumberForma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4" fillId="6" borderId="5" xfId="0" applyNumberFormat="1" applyFont="1" applyFill="1" applyBorder="1" applyAlignment="1">
      <alignment horizontal="center" vertical="center" wrapText="1"/>
    </xf>
    <xf numFmtId="164" fontId="4" fillId="6" borderId="7" xfId="0" applyNumberFormat="1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6" borderId="1" xfId="0" applyNumberFormat="1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wrapText="1"/>
    </xf>
    <xf numFmtId="0" fontId="4" fillId="7" borderId="4" xfId="0" applyFont="1" applyFill="1" applyBorder="1" applyAlignment="1">
      <alignment horizontal="center" wrapText="1"/>
    </xf>
    <xf numFmtId="0" fontId="4" fillId="7" borderId="3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 readingOrder="1"/>
    </xf>
    <xf numFmtId="10" fontId="4" fillId="12" borderId="1" xfId="0" applyNumberFormat="1" applyFont="1" applyFill="1" applyBorder="1" applyAlignment="1">
      <alignment horizontal="center" vertical="center" wrapText="1"/>
    </xf>
    <xf numFmtId="44" fontId="4" fillId="3" borderId="1" xfId="2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10" fontId="4" fillId="0" borderId="1" xfId="2" applyNumberFormat="1" applyFont="1" applyFill="1" applyBorder="1" applyAlignment="1">
      <alignment horizontal="center" vertical="center" wrapText="1"/>
    </xf>
    <xf numFmtId="44" fontId="4" fillId="0" borderId="1" xfId="2" applyFont="1" applyFill="1" applyBorder="1" applyAlignment="1">
      <alignment horizontal="center" vertical="center" wrapText="1"/>
    </xf>
    <xf numFmtId="0" fontId="29" fillId="9" borderId="0" xfId="3" applyFont="1" applyFill="1" applyAlignment="1">
      <alignment horizontal="center" wrapText="1"/>
    </xf>
    <xf numFmtId="0" fontId="17" fillId="8" borderId="0" xfId="3" applyFill="1" applyAlignment="1">
      <alignment horizontal="center"/>
    </xf>
    <xf numFmtId="0" fontId="24" fillId="8" borderId="0" xfId="3" applyFont="1" applyFill="1" applyAlignment="1">
      <alignment horizontal="center"/>
    </xf>
    <xf numFmtId="0" fontId="27" fillId="0" borderId="0" xfId="3" applyFont="1" applyAlignment="1">
      <alignment horizontal="center"/>
    </xf>
    <xf numFmtId="0" fontId="26" fillId="0" borderId="0" xfId="3" applyFont="1" applyAlignment="1">
      <alignment horizontal="left"/>
    </xf>
    <xf numFmtId="0" fontId="1" fillId="0" borderId="0" xfId="3" applyFont="1" applyAlignment="1">
      <alignment horizontal="center"/>
    </xf>
    <xf numFmtId="0" fontId="1" fillId="0" borderId="1" xfId="3" applyFont="1" applyBorder="1"/>
    <xf numFmtId="0" fontId="1" fillId="0" borderId="1" xfId="3" applyFont="1" applyBorder="1" applyAlignment="1">
      <alignment horizontal="center"/>
    </xf>
    <xf numFmtId="0" fontId="28" fillId="8" borderId="1" xfId="3" applyFont="1" applyFill="1" applyBorder="1"/>
    <xf numFmtId="10" fontId="28" fillId="9" borderId="1" xfId="3" applyNumberFormat="1" applyFont="1" applyFill="1" applyBorder="1" applyAlignment="1">
      <alignment horizontal="center"/>
    </xf>
    <xf numFmtId="0" fontId="1" fillId="0" borderId="1" xfId="3" applyFont="1" applyBorder="1" applyAlignment="1">
      <alignment horizontal="right" wrapText="1"/>
    </xf>
    <xf numFmtId="10" fontId="1" fillId="0" borderId="2" xfId="3" applyNumberFormat="1" applyFont="1" applyBorder="1" applyAlignment="1">
      <alignment horizontal="center" vertical="center"/>
    </xf>
    <xf numFmtId="10" fontId="1" fillId="0" borderId="3" xfId="3" applyNumberFormat="1" applyFont="1" applyBorder="1" applyAlignment="1">
      <alignment horizontal="center" vertical="center"/>
    </xf>
    <xf numFmtId="0" fontId="28" fillId="0" borderId="1" xfId="3" applyFont="1" applyBorder="1" applyAlignment="1">
      <alignment horizontal="center"/>
    </xf>
    <xf numFmtId="0" fontId="28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28" fillId="0" borderId="1" xfId="3" applyFont="1" applyBorder="1"/>
    <xf numFmtId="0" fontId="28" fillId="0" borderId="1" xfId="3" applyFont="1" applyBorder="1" applyAlignment="1">
      <alignment wrapText="1"/>
    </xf>
    <xf numFmtId="0" fontId="28" fillId="0" borderId="2" xfId="3" applyFont="1" applyBorder="1" applyAlignment="1">
      <alignment horizontal="center"/>
    </xf>
    <xf numFmtId="0" fontId="28" fillId="0" borderId="4" xfId="3" applyFont="1" applyBorder="1" applyAlignment="1">
      <alignment horizontal="center"/>
    </xf>
    <xf numFmtId="0" fontId="28" fillId="0" borderId="3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/>
    </xf>
    <xf numFmtId="0" fontId="38" fillId="17" borderId="13" xfId="0" applyFont="1" applyFill="1" applyBorder="1" applyAlignment="1">
      <alignment horizontal="left"/>
    </xf>
    <xf numFmtId="0" fontId="47" fillId="17" borderId="13" xfId="0" applyFont="1" applyFill="1" applyBorder="1" applyAlignment="1">
      <alignment horizontal="left"/>
    </xf>
    <xf numFmtId="0" fontId="47" fillId="18" borderId="13" xfId="0" applyFont="1" applyFill="1" applyBorder="1" applyAlignment="1">
      <alignment horizontal="left"/>
    </xf>
    <xf numFmtId="0" fontId="48" fillId="13" borderId="0" xfId="0" applyFont="1" applyFill="1" applyAlignment="1">
      <alignment horizontal="center"/>
    </xf>
    <xf numFmtId="0" fontId="42" fillId="19" borderId="17" xfId="0" applyFont="1" applyFill="1" applyBorder="1" applyAlignment="1">
      <alignment horizontal="left"/>
    </xf>
    <xf numFmtId="0" fontId="38" fillId="17" borderId="13" xfId="0" applyFont="1" applyFill="1" applyBorder="1" applyAlignment="1">
      <alignment horizontal="center"/>
    </xf>
    <xf numFmtId="0" fontId="38" fillId="18" borderId="13" xfId="0" applyFont="1" applyFill="1" applyBorder="1" applyAlignment="1">
      <alignment horizontal="left"/>
    </xf>
    <xf numFmtId="0" fontId="38" fillId="18" borderId="13" xfId="0" applyFont="1" applyFill="1" applyBorder="1" applyAlignment="1">
      <alignment horizontal="right"/>
    </xf>
    <xf numFmtId="0" fontId="49" fillId="0" borderId="0" xfId="0" applyFont="1" applyAlignment="1">
      <alignment horizontal="center"/>
    </xf>
    <xf numFmtId="0" fontId="38" fillId="18" borderId="13" xfId="0" applyFont="1" applyFill="1" applyBorder="1" applyAlignment="1">
      <alignment horizontal="center" vertical="center"/>
    </xf>
    <xf numFmtId="0" fontId="38" fillId="18" borderId="13" xfId="0" applyFont="1" applyFill="1" applyBorder="1" applyAlignment="1">
      <alignment horizontal="left" vertical="center" wrapText="1"/>
    </xf>
    <xf numFmtId="0" fontId="38" fillId="18" borderId="13" xfId="0" applyFont="1" applyFill="1" applyBorder="1" applyAlignment="1">
      <alignment horizontal="left" vertical="center"/>
    </xf>
    <xf numFmtId="0" fontId="38" fillId="17" borderId="13" xfId="0" applyFont="1" applyFill="1" applyBorder="1" applyAlignment="1">
      <alignment horizontal="left" vertical="center"/>
    </xf>
    <xf numFmtId="0" fontId="38" fillId="17" borderId="13" xfId="0" applyFont="1" applyFill="1" applyBorder="1" applyAlignment="1">
      <alignment horizontal="center" vertical="center"/>
    </xf>
    <xf numFmtId="0" fontId="38" fillId="18" borderId="13" xfId="0" applyFont="1" applyFill="1" applyBorder="1" applyAlignment="1">
      <alignment horizontal="center"/>
    </xf>
    <xf numFmtId="0" fontId="50" fillId="13" borderId="18" xfId="0" applyFont="1" applyFill="1" applyBorder="1" applyAlignment="1">
      <alignment horizontal="center" vertical="center"/>
    </xf>
    <xf numFmtId="0" fontId="42" fillId="20" borderId="16" xfId="0" applyFont="1" applyFill="1" applyBorder="1" applyAlignment="1">
      <alignment horizontal="left" vertical="center"/>
    </xf>
    <xf numFmtId="0" fontId="42" fillId="20" borderId="19" xfId="0" applyFont="1" applyFill="1" applyBorder="1" applyAlignment="1">
      <alignment horizontal="left" vertical="center"/>
    </xf>
    <xf numFmtId="0" fontId="42" fillId="20" borderId="14" xfId="0" applyFont="1" applyFill="1" applyBorder="1" applyAlignment="1">
      <alignment horizontal="left" vertical="center"/>
    </xf>
    <xf numFmtId="0" fontId="42" fillId="20" borderId="13" xfId="0" applyFont="1" applyFill="1" applyBorder="1" applyAlignment="1">
      <alignment horizontal="left" vertical="center" wrapText="1"/>
    </xf>
    <xf numFmtId="166" fontId="38" fillId="17" borderId="13" xfId="0" applyNumberFormat="1" applyFont="1" applyFill="1" applyBorder="1" applyAlignment="1">
      <alignment horizontal="left" vertical="center" wrapText="1"/>
    </xf>
    <xf numFmtId="0" fontId="43" fillId="13" borderId="0" xfId="0" applyFont="1" applyFill="1" applyAlignment="1">
      <alignment horizontal="justify" vertical="center" wrapText="1"/>
    </xf>
    <xf numFmtId="0" fontId="38" fillId="17" borderId="13" xfId="0" applyFont="1" applyFill="1" applyBorder="1" applyAlignment="1">
      <alignment horizontal="left" wrapText="1"/>
    </xf>
    <xf numFmtId="0" fontId="38" fillId="17" borderId="13" xfId="0" applyFont="1" applyFill="1" applyBorder="1" applyAlignment="1">
      <alignment horizontal="left" vertical="center" wrapText="1"/>
    </xf>
    <xf numFmtId="166" fontId="38" fillId="18" borderId="13" xfId="0" applyNumberFormat="1" applyFont="1" applyFill="1" applyBorder="1" applyAlignment="1">
      <alignment horizontal="left" vertical="center" wrapText="1"/>
    </xf>
    <xf numFmtId="0" fontId="42" fillId="20" borderId="13" xfId="0" applyFont="1" applyFill="1" applyBorder="1" applyAlignment="1">
      <alignment horizontal="left" vertical="center"/>
    </xf>
    <xf numFmtId="0" fontId="42" fillId="20" borderId="13" xfId="0" applyFont="1" applyFill="1" applyBorder="1" applyAlignment="1">
      <alignment horizontal="justify" vertical="center" wrapText="1"/>
    </xf>
    <xf numFmtId="0" fontId="38" fillId="17" borderId="13" xfId="0" applyFont="1" applyFill="1" applyBorder="1" applyAlignment="1">
      <alignment horizontal="justify" vertical="center"/>
    </xf>
    <xf numFmtId="0" fontId="38" fillId="18" borderId="13" xfId="0" applyFont="1" applyFill="1" applyBorder="1" applyAlignment="1">
      <alignment horizontal="justify" vertical="center"/>
    </xf>
    <xf numFmtId="0" fontId="38" fillId="18" borderId="20" xfId="0" applyFont="1" applyFill="1" applyBorder="1" applyAlignment="1">
      <alignment horizontal="left" vertical="center" wrapText="1"/>
    </xf>
    <xf numFmtId="4" fontId="38" fillId="18" borderId="13" xfId="0" applyNumberFormat="1" applyFont="1" applyFill="1" applyBorder="1" applyAlignment="1">
      <alignment horizontal="left" vertical="center" wrapText="1"/>
    </xf>
    <xf numFmtId="0" fontId="42" fillId="20" borderId="20" xfId="0" applyFont="1" applyFill="1" applyBorder="1" applyAlignment="1">
      <alignment horizontal="left" vertical="center" wrapText="1"/>
    </xf>
    <xf numFmtId="0" fontId="38" fillId="17" borderId="20" xfId="0" applyFont="1" applyFill="1" applyBorder="1" applyAlignment="1">
      <alignment horizontal="left" vertical="center" wrapText="1"/>
    </xf>
    <xf numFmtId="4" fontId="38" fillId="18" borderId="20" xfId="0" applyNumberFormat="1" applyFont="1" applyFill="1" applyBorder="1" applyAlignment="1">
      <alignment horizontal="left" vertical="center" wrapText="1"/>
    </xf>
    <xf numFmtId="0" fontId="43" fillId="13" borderId="0" xfId="0" applyFont="1" applyFill="1" applyAlignment="1">
      <alignment horizontal="left" wrapText="1"/>
    </xf>
    <xf numFmtId="0" fontId="53" fillId="18" borderId="13" xfId="0" applyFont="1" applyFill="1" applyBorder="1" applyAlignment="1">
      <alignment horizontal="left" vertical="center" wrapText="1" indent="1"/>
    </xf>
    <xf numFmtId="0" fontId="53" fillId="17" borderId="13" xfId="0" applyFont="1" applyFill="1" applyBorder="1" applyAlignment="1">
      <alignment horizontal="left" vertical="center" wrapText="1" indent="1"/>
    </xf>
    <xf numFmtId="0" fontId="42" fillId="20" borderId="21" xfId="0" applyFont="1" applyFill="1" applyBorder="1" applyAlignment="1">
      <alignment horizontal="left" vertical="center" wrapText="1"/>
    </xf>
    <xf numFmtId="0" fontId="42" fillId="13" borderId="0" xfId="0" applyFont="1" applyFill="1" applyAlignment="1">
      <alignment horizontal="left" vertical="center" wrapText="1"/>
    </xf>
    <xf numFmtId="0" fontId="47" fillId="17" borderId="16" xfId="0" applyFont="1" applyFill="1" applyBorder="1" applyAlignment="1">
      <alignment horizontal="left"/>
    </xf>
    <xf numFmtId="0" fontId="47" fillId="17" borderId="19" xfId="0" applyFont="1" applyFill="1" applyBorder="1" applyAlignment="1">
      <alignment horizontal="left"/>
    </xf>
    <xf numFmtId="0" fontId="47" fillId="17" borderId="14" xfId="0" applyFont="1" applyFill="1" applyBorder="1" applyAlignment="1">
      <alignment horizontal="left"/>
    </xf>
    <xf numFmtId="166" fontId="38" fillId="18" borderId="16" xfId="0" applyNumberFormat="1" applyFont="1" applyFill="1" applyBorder="1" applyAlignment="1">
      <alignment horizontal="left" vertical="center" wrapText="1"/>
    </xf>
    <xf numFmtId="166" fontId="38" fillId="18" borderId="19" xfId="0" applyNumberFormat="1" applyFont="1" applyFill="1" applyBorder="1" applyAlignment="1">
      <alignment horizontal="left" vertical="center" wrapText="1"/>
    </xf>
    <xf numFmtId="166" fontId="38" fillId="18" borderId="14" xfId="0" applyNumberFormat="1" applyFont="1" applyFill="1" applyBorder="1" applyAlignment="1">
      <alignment horizontal="left" vertical="center" wrapText="1"/>
    </xf>
    <xf numFmtId="0" fontId="42" fillId="19" borderId="16" xfId="0" applyFont="1" applyFill="1" applyBorder="1" applyAlignment="1">
      <alignment horizontal="left" vertical="center"/>
    </xf>
    <xf numFmtId="0" fontId="42" fillId="19" borderId="19" xfId="0" applyFont="1" applyFill="1" applyBorder="1" applyAlignment="1">
      <alignment horizontal="left" vertical="center"/>
    </xf>
    <xf numFmtId="0" fontId="42" fillId="19" borderId="14" xfId="0" applyFont="1" applyFill="1" applyBorder="1" applyAlignment="1">
      <alignment horizontal="left" vertical="center"/>
    </xf>
    <xf numFmtId="0" fontId="42" fillId="19" borderId="16" xfId="0" applyFont="1" applyFill="1" applyBorder="1" applyAlignment="1">
      <alignment horizontal="left" vertical="center" wrapText="1"/>
    </xf>
    <xf numFmtId="0" fontId="42" fillId="19" borderId="19" xfId="0" applyFont="1" applyFill="1" applyBorder="1" applyAlignment="1">
      <alignment horizontal="left" vertical="center" wrapText="1"/>
    </xf>
    <xf numFmtId="0" fontId="42" fillId="19" borderId="14" xfId="0" applyFont="1" applyFill="1" applyBorder="1" applyAlignment="1">
      <alignment horizontal="left" vertical="center" wrapText="1"/>
    </xf>
    <xf numFmtId="166" fontId="38" fillId="17" borderId="16" xfId="0" applyNumberFormat="1" applyFont="1" applyFill="1" applyBorder="1" applyAlignment="1">
      <alignment horizontal="left" vertical="center" wrapText="1"/>
    </xf>
    <xf numFmtId="166" fontId="38" fillId="17" borderId="19" xfId="0" applyNumberFormat="1" applyFont="1" applyFill="1" applyBorder="1" applyAlignment="1">
      <alignment horizontal="left" vertical="center" wrapText="1"/>
    </xf>
    <xf numFmtId="166" fontId="38" fillId="17" borderId="14" xfId="0" applyNumberFormat="1" applyFont="1" applyFill="1" applyBorder="1" applyAlignment="1">
      <alignment horizontal="left" vertical="center" wrapText="1"/>
    </xf>
    <xf numFmtId="0" fontId="38" fillId="18" borderId="16" xfId="0" applyFont="1" applyFill="1" applyBorder="1" applyAlignment="1">
      <alignment horizontal="left" vertical="center" wrapText="1"/>
    </xf>
    <xf numFmtId="0" fontId="38" fillId="18" borderId="19" xfId="0" applyFont="1" applyFill="1" applyBorder="1" applyAlignment="1">
      <alignment horizontal="left" vertical="center" wrapText="1"/>
    </xf>
    <xf numFmtId="0" fontId="38" fillId="18" borderId="14" xfId="0" applyFont="1" applyFill="1" applyBorder="1" applyAlignment="1">
      <alignment horizontal="left" vertical="center" wrapText="1"/>
    </xf>
    <xf numFmtId="0" fontId="38" fillId="17" borderId="16" xfId="0" applyFont="1" applyFill="1" applyBorder="1" applyAlignment="1">
      <alignment horizontal="left" wrapText="1"/>
    </xf>
    <xf numFmtId="0" fontId="38" fillId="17" borderId="19" xfId="0" applyFont="1" applyFill="1" applyBorder="1" applyAlignment="1">
      <alignment horizontal="left" wrapText="1"/>
    </xf>
    <xf numFmtId="0" fontId="38" fillId="17" borderId="14" xfId="0" applyFont="1" applyFill="1" applyBorder="1" applyAlignment="1">
      <alignment horizontal="left" wrapText="1"/>
    </xf>
    <xf numFmtId="0" fontId="38" fillId="17" borderId="16" xfId="0" applyFont="1" applyFill="1" applyBorder="1" applyAlignment="1">
      <alignment horizontal="left" vertical="center" wrapText="1"/>
    </xf>
    <xf numFmtId="0" fontId="38" fillId="17" borderId="19" xfId="0" applyFont="1" applyFill="1" applyBorder="1" applyAlignment="1">
      <alignment horizontal="left" vertical="center" wrapText="1"/>
    </xf>
    <xf numFmtId="0" fontId="38" fillId="17" borderId="14" xfId="0" applyFont="1" applyFill="1" applyBorder="1" applyAlignment="1">
      <alignment horizontal="left" vertical="center" wrapText="1"/>
    </xf>
    <xf numFmtId="0" fontId="42" fillId="19" borderId="13" xfId="0" applyFont="1" applyFill="1" applyBorder="1" applyAlignment="1">
      <alignment horizontal="left" vertical="center" wrapText="1"/>
    </xf>
    <xf numFmtId="0" fontId="42" fillId="19" borderId="13" xfId="0" applyFont="1" applyFill="1" applyBorder="1" applyAlignment="1">
      <alignment horizontal="left" vertical="center"/>
    </xf>
    <xf numFmtId="0" fontId="42" fillId="19" borderId="13" xfId="0" applyFont="1" applyFill="1" applyBorder="1" applyAlignment="1">
      <alignment horizontal="justify" vertical="center" wrapText="1"/>
    </xf>
    <xf numFmtId="0" fontId="42" fillId="19" borderId="20" xfId="0" applyFont="1" applyFill="1" applyBorder="1" applyAlignment="1">
      <alignment horizontal="left" vertical="center" wrapText="1"/>
    </xf>
    <xf numFmtId="0" fontId="42" fillId="19" borderId="21" xfId="0" applyFont="1" applyFill="1" applyBorder="1" applyAlignment="1">
      <alignment horizontal="left" vertical="center" wrapText="1"/>
    </xf>
    <xf numFmtId="0" fontId="38" fillId="24" borderId="16" xfId="0" applyFont="1" applyFill="1" applyBorder="1" applyAlignment="1">
      <alignment horizontal="center" vertical="center"/>
    </xf>
    <xf numFmtId="0" fontId="38" fillId="24" borderId="14" xfId="0" applyFont="1" applyFill="1" applyBorder="1" applyAlignment="1">
      <alignment horizontal="center" vertical="center"/>
    </xf>
    <xf numFmtId="0" fontId="38" fillId="25" borderId="16" xfId="0" applyFont="1" applyFill="1" applyBorder="1" applyAlignment="1">
      <alignment horizontal="center"/>
    </xf>
    <xf numFmtId="0" fontId="38" fillId="25" borderId="19" xfId="0" applyFont="1" applyFill="1" applyBorder="1" applyAlignment="1">
      <alignment horizontal="center"/>
    </xf>
    <xf numFmtId="0" fontId="38" fillId="25" borderId="14" xfId="0" applyFont="1" applyFill="1" applyBorder="1" applyAlignment="1">
      <alignment horizontal="center"/>
    </xf>
    <xf numFmtId="169" fontId="43" fillId="26" borderId="13" xfId="0" applyNumberFormat="1" applyFont="1" applyFill="1" applyBorder="1" applyAlignment="1">
      <alignment horizontal="center" vertical="center"/>
    </xf>
    <xf numFmtId="164" fontId="43" fillId="26" borderId="13" xfId="0" applyNumberFormat="1" applyFont="1" applyFill="1" applyBorder="1" applyAlignment="1">
      <alignment horizontal="center" vertical="center"/>
    </xf>
    <xf numFmtId="0" fontId="35" fillId="0" borderId="0" xfId="4" applyFont="1" applyAlignment="1">
      <alignment horizontal="center" vertical="center"/>
    </xf>
    <xf numFmtId="0" fontId="33" fillId="10" borderId="11" xfId="4" applyFont="1" applyFill="1" applyBorder="1" applyAlignment="1">
      <alignment horizontal="center" vertical="center"/>
    </xf>
    <xf numFmtId="0" fontId="33" fillId="10" borderId="1" xfId="4" applyFont="1" applyFill="1" applyBorder="1" applyAlignment="1">
      <alignment horizontal="center" vertical="center"/>
    </xf>
    <xf numFmtId="0" fontId="38" fillId="14" borderId="13" xfId="0" applyFont="1" applyFill="1" applyBorder="1" applyAlignment="1">
      <alignment horizontal="left" vertical="center"/>
    </xf>
    <xf numFmtId="0" fontId="38" fillId="16" borderId="13" xfId="0" applyFont="1" applyFill="1" applyBorder="1" applyAlignment="1">
      <alignment horizontal="left" vertical="center" wrapText="1"/>
    </xf>
    <xf numFmtId="0" fontId="38" fillId="14" borderId="13" xfId="0" applyFont="1" applyFill="1" applyBorder="1" applyAlignment="1">
      <alignment horizontal="left" vertical="center" wrapText="1"/>
    </xf>
    <xf numFmtId="0" fontId="42" fillId="15" borderId="13" xfId="0" applyFont="1" applyFill="1" applyBorder="1" applyAlignment="1">
      <alignment horizontal="left" vertical="center"/>
    </xf>
    <xf numFmtId="0" fontId="42" fillId="15" borderId="13" xfId="0" applyFont="1" applyFill="1" applyBorder="1" applyAlignment="1">
      <alignment horizontal="left" vertical="center" wrapText="1"/>
    </xf>
    <xf numFmtId="166" fontId="38" fillId="16" borderId="13" xfId="0" applyNumberFormat="1" applyFont="1" applyFill="1" applyBorder="1" applyAlignment="1">
      <alignment horizontal="left" vertical="center" wrapText="1"/>
    </xf>
    <xf numFmtId="0" fontId="38" fillId="13" borderId="0" xfId="0" applyFont="1" applyFill="1" applyAlignment="1">
      <alignment horizontal="justify" vertical="center" wrapText="1"/>
    </xf>
    <xf numFmtId="166" fontId="38" fillId="14" borderId="13" xfId="0" applyNumberFormat="1" applyFont="1" applyFill="1" applyBorder="1" applyAlignment="1">
      <alignment horizontal="left" vertical="center" wrapText="1"/>
    </xf>
    <xf numFmtId="0" fontId="38" fillId="14" borderId="13" xfId="0" applyFont="1" applyFill="1" applyBorder="1" applyAlignment="1">
      <alignment horizontal="left"/>
    </xf>
    <xf numFmtId="0" fontId="44" fillId="13" borderId="15" xfId="0" applyFont="1" applyFill="1" applyBorder="1" applyAlignment="1">
      <alignment horizontal="left" vertical="center" wrapText="1"/>
    </xf>
    <xf numFmtId="0" fontId="42" fillId="15" borderId="13" xfId="0" applyFont="1" applyFill="1" applyBorder="1" applyAlignment="1">
      <alignment horizontal="justify" vertical="center" wrapText="1"/>
    </xf>
    <xf numFmtId="0" fontId="38" fillId="16" borderId="13" xfId="0" applyFont="1" applyFill="1" applyBorder="1" applyAlignment="1">
      <alignment horizontal="justify" vertical="center"/>
    </xf>
    <xf numFmtId="0" fontId="38" fillId="14" borderId="13" xfId="0" applyFont="1" applyFill="1" applyBorder="1" applyAlignment="1">
      <alignment horizontal="justify" vertical="center"/>
    </xf>
  </cellXfs>
  <cellStyles count="6">
    <cellStyle name="Moeda" xfId="2" builtinId="4"/>
    <cellStyle name="Normal" xfId="0" builtinId="0"/>
    <cellStyle name="Normal 2" xfId="3" xr:uid="{0EFE125B-ED75-4983-9B66-A3A6DF7B5829}"/>
    <cellStyle name="Normal 3" xfId="4" xr:uid="{12FFDB0F-9605-41C1-860B-A48425751DCD}"/>
    <cellStyle name="Porcentagem" xfId="5" builtinId="5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80FAD951-BA72-43BE-83B4-FA02B27F45B1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67BE1753-7D93-4CA2-9CB3-9389F4A38168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6B7FBC34-636B-45B4-B7CA-CB303995E0CF}"/>
            </a:ext>
          </a:extLst>
        </xdr:cNvPr>
        <xdr:cNvSpPr/>
      </xdr:nvSpPr>
      <xdr:spPr>
        <a:xfrm>
          <a:off x="6143985" y="1352910"/>
          <a:ext cx="323640" cy="3425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FFF7449D-95B3-43CA-824A-5A2A003DF3D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67145" y="114480"/>
          <a:ext cx="666360" cy="7526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M-Altamir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-PA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  <cell r="F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0.44472535049413903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>
        <row r="9">
          <cell r="B9">
            <v>115.05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Oficial de Manutenção-Estimado"/>
      <sheetName val="Oficial de Manutenção"/>
      <sheetName val="Uniforme"/>
      <sheetName val="Materiais de Reposição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E5">
            <v>8.3333333333333321</v>
          </cell>
        </row>
        <row r="6">
          <cell r="E6">
            <v>2.7777777777777777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20">
          <cell r="E20">
            <v>0.29105124999999998</v>
          </cell>
        </row>
        <row r="22">
          <cell r="E22">
            <v>0.04</v>
          </cell>
        </row>
        <row r="26">
          <cell r="E26">
            <v>8.3333333333333321</v>
          </cell>
        </row>
        <row r="27">
          <cell r="E27">
            <v>2.2222222222222223</v>
          </cell>
        </row>
        <row r="28">
          <cell r="E28">
            <v>3.5673555555555549E-2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8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5">
          <cell r="F5">
            <v>7</v>
          </cell>
        </row>
        <row r="8">
          <cell r="F8">
            <v>12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27599-83DC-4EDB-9882-B28F1AC305D7}">
  <sheetPr>
    <pageSetUpPr fitToPage="1"/>
  </sheetPr>
  <dimension ref="A1:BL34"/>
  <sheetViews>
    <sheetView showGridLines="0" tabSelected="1" view="pageBreakPreview" zoomScale="120" zoomScaleNormal="120" zoomScaleSheetLayoutView="120" zoomScalePageLayoutView="90" workbookViewId="0">
      <selection activeCell="A3" sqref="A3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208" t="s">
        <v>512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64" ht="18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</row>
    <row r="4" spans="1:64" ht="18">
      <c r="A4" s="209" t="s">
        <v>315</v>
      </c>
      <c r="B4" s="209"/>
      <c r="C4" s="209"/>
      <c r="D4" s="209"/>
      <c r="E4" s="209"/>
      <c r="F4" s="209"/>
      <c r="G4" s="209"/>
      <c r="H4" s="209"/>
      <c r="I4" s="209"/>
      <c r="J4" s="209"/>
    </row>
    <row r="8" spans="1:64" ht="36" customHeight="1">
      <c r="A8" s="206" t="s">
        <v>317</v>
      </c>
      <c r="B8" s="206"/>
      <c r="C8" s="206"/>
      <c r="D8" s="206"/>
      <c r="E8" s="206"/>
      <c r="F8" s="206"/>
      <c r="G8" s="206"/>
      <c r="H8" s="206"/>
      <c r="I8" s="206"/>
      <c r="J8" s="206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</row>
    <row r="9" spans="1:64">
      <c r="A9" s="70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</row>
    <row r="10" spans="1:64" ht="12.75" customHeight="1">
      <c r="A10" s="71">
        <v>1</v>
      </c>
      <c r="B10" s="206" t="s">
        <v>318</v>
      </c>
      <c r="C10" s="206"/>
      <c r="D10" s="206"/>
      <c r="E10" s="206"/>
      <c r="F10" s="206"/>
      <c r="G10" s="206"/>
      <c r="H10" s="206"/>
      <c r="I10" s="206"/>
      <c r="J10" s="20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</row>
    <row r="11" spans="1:64">
      <c r="A11" s="72"/>
      <c r="B11" s="72"/>
      <c r="C11" s="72"/>
      <c r="D11" s="72"/>
      <c r="E11" s="72"/>
      <c r="F11" s="72"/>
      <c r="G11" s="72"/>
      <c r="H11" s="72"/>
      <c r="I11" s="72"/>
      <c r="J11" s="72"/>
    </row>
    <row r="12" spans="1:64" ht="24.6" customHeight="1">
      <c r="A12" s="71">
        <v>2</v>
      </c>
      <c r="B12" s="206" t="s">
        <v>319</v>
      </c>
      <c r="C12" s="206"/>
      <c r="D12" s="206"/>
      <c r="E12" s="206"/>
      <c r="F12" s="206"/>
      <c r="G12" s="206"/>
      <c r="H12" s="206"/>
      <c r="I12" s="206"/>
      <c r="J12" s="206"/>
    </row>
    <row r="13" spans="1:64">
      <c r="A13" s="71"/>
      <c r="B13" s="73"/>
      <c r="C13" s="73"/>
      <c r="D13" s="73"/>
      <c r="E13" s="74"/>
      <c r="F13" s="75"/>
      <c r="G13" s="75"/>
      <c r="H13" s="73"/>
      <c r="I13" s="75"/>
      <c r="J13" s="75"/>
    </row>
    <row r="14" spans="1:64" ht="24.6" customHeight="1">
      <c r="A14" s="71">
        <v>3</v>
      </c>
      <c r="B14" s="206" t="s">
        <v>320</v>
      </c>
      <c r="C14" s="206"/>
      <c r="D14" s="206"/>
      <c r="E14" s="206"/>
      <c r="F14" s="206"/>
      <c r="G14" s="206"/>
      <c r="H14" s="206"/>
      <c r="I14" s="206"/>
      <c r="J14" s="206"/>
    </row>
    <row r="15" spans="1:64">
      <c r="A15" s="71"/>
      <c r="B15" s="73"/>
      <c r="C15" s="73"/>
      <c r="D15" s="73"/>
      <c r="E15" s="74"/>
      <c r="F15" s="75"/>
      <c r="G15" s="75"/>
      <c r="H15" s="73"/>
      <c r="I15" s="75"/>
      <c r="J15" s="75"/>
    </row>
    <row r="16" spans="1:64" ht="24.6" customHeight="1">
      <c r="A16" s="71">
        <v>4</v>
      </c>
      <c r="B16" s="206" t="s">
        <v>321</v>
      </c>
      <c r="C16" s="206"/>
      <c r="D16" s="206"/>
      <c r="E16" s="206"/>
      <c r="F16" s="206"/>
      <c r="G16" s="206"/>
      <c r="H16" s="206"/>
      <c r="I16" s="206"/>
      <c r="J16" s="206"/>
    </row>
    <row r="17" spans="1:10">
      <c r="A17" s="71"/>
      <c r="B17" s="69"/>
      <c r="C17" s="69"/>
      <c r="D17" s="69"/>
      <c r="E17" s="69"/>
      <c r="F17" s="69"/>
      <c r="G17" s="69"/>
      <c r="H17" s="69"/>
      <c r="I17" s="69"/>
      <c r="J17" s="69"/>
    </row>
    <row r="18" spans="1:10" ht="12.95" customHeight="1">
      <c r="A18" s="71">
        <v>5</v>
      </c>
      <c r="B18" s="206" t="s">
        <v>322</v>
      </c>
      <c r="C18" s="206"/>
      <c r="D18" s="206"/>
      <c r="E18" s="206"/>
      <c r="F18" s="206"/>
      <c r="G18" s="206"/>
      <c r="H18" s="206"/>
      <c r="I18" s="206"/>
      <c r="J18" s="206"/>
    </row>
    <row r="19" spans="1:10">
      <c r="A19" s="71"/>
      <c r="B19" s="73"/>
      <c r="C19" s="73"/>
      <c r="D19" s="73"/>
      <c r="E19" s="74"/>
      <c r="F19" s="75"/>
      <c r="G19" s="75"/>
      <c r="H19" s="73"/>
      <c r="I19" s="75"/>
      <c r="J19" s="75"/>
    </row>
    <row r="20" spans="1:10" ht="45" customHeight="1">
      <c r="A20" s="71">
        <v>6</v>
      </c>
      <c r="B20" s="206" t="s">
        <v>323</v>
      </c>
      <c r="C20" s="206"/>
      <c r="D20" s="206"/>
      <c r="E20" s="206"/>
      <c r="F20" s="206"/>
      <c r="G20" s="206"/>
      <c r="H20" s="206"/>
      <c r="I20" s="206"/>
      <c r="J20" s="206"/>
    </row>
    <row r="21" spans="1:10">
      <c r="A21" s="71"/>
      <c r="B21" s="69"/>
      <c r="C21" s="69"/>
      <c r="D21" s="69"/>
      <c r="E21" s="69"/>
      <c r="F21" s="69"/>
      <c r="G21" s="69"/>
      <c r="H21" s="69"/>
      <c r="I21" s="69"/>
      <c r="J21" s="69"/>
    </row>
    <row r="22" spans="1:10" ht="30.75" customHeight="1">
      <c r="A22" s="76">
        <v>7</v>
      </c>
      <c r="B22" s="206" t="s">
        <v>324</v>
      </c>
      <c r="C22" s="206"/>
      <c r="D22" s="206"/>
      <c r="E22" s="206"/>
      <c r="F22" s="206"/>
      <c r="G22" s="206"/>
      <c r="H22" s="206"/>
      <c r="I22" s="206"/>
      <c r="J22" s="206"/>
    </row>
    <row r="24" spans="1:10" ht="27.75" customHeight="1">
      <c r="A24" s="71">
        <v>8</v>
      </c>
      <c r="B24" s="206" t="s">
        <v>325</v>
      </c>
      <c r="C24" s="206"/>
      <c r="D24" s="206"/>
      <c r="E24" s="206"/>
      <c r="F24" s="206"/>
      <c r="G24" s="206"/>
      <c r="H24" s="206"/>
      <c r="I24" s="206"/>
      <c r="J24" s="206"/>
    </row>
    <row r="25" spans="1:10" ht="10.5" customHeight="1"/>
    <row r="26" spans="1:10" ht="26.25" customHeight="1">
      <c r="A26" s="71">
        <v>9</v>
      </c>
      <c r="B26" s="206" t="s">
        <v>326</v>
      </c>
      <c r="C26" s="206"/>
      <c r="D26" s="206"/>
      <c r="E26" s="206"/>
      <c r="F26" s="206"/>
      <c r="G26" s="206"/>
      <c r="H26" s="206"/>
      <c r="I26" s="206"/>
      <c r="J26" s="206"/>
    </row>
    <row r="27" spans="1:10" ht="14.25" customHeight="1"/>
    <row r="28" spans="1:10" ht="39.75" customHeight="1">
      <c r="A28" s="71">
        <v>10</v>
      </c>
      <c r="B28" s="206" t="s">
        <v>327</v>
      </c>
      <c r="C28" s="206"/>
      <c r="D28" s="206"/>
      <c r="E28" s="206"/>
      <c r="F28" s="206"/>
      <c r="G28" s="206"/>
      <c r="H28" s="206"/>
      <c r="I28" s="206"/>
      <c r="J28" s="206"/>
    </row>
    <row r="30" spans="1:10">
      <c r="A30" s="71">
        <v>11</v>
      </c>
      <c r="B30" s="206" t="s">
        <v>504</v>
      </c>
      <c r="C30" s="206"/>
      <c r="D30" s="206"/>
      <c r="E30" s="206"/>
      <c r="F30" s="206"/>
      <c r="G30" s="206"/>
      <c r="H30" s="206"/>
      <c r="I30" s="206"/>
      <c r="J30" s="206"/>
    </row>
    <row r="32" spans="1:10" ht="30" customHeight="1">
      <c r="A32" s="71">
        <v>12</v>
      </c>
      <c r="B32" s="206" t="s">
        <v>505</v>
      </c>
      <c r="C32" s="206"/>
      <c r="D32" s="206"/>
      <c r="E32" s="206"/>
      <c r="F32" s="206"/>
      <c r="G32" s="206"/>
      <c r="H32" s="206"/>
      <c r="I32" s="206"/>
      <c r="J32" s="206"/>
    </row>
    <row r="34" spans="1:10" ht="35.25" customHeight="1">
      <c r="A34" s="71">
        <v>13</v>
      </c>
      <c r="B34" s="207" t="s">
        <v>506</v>
      </c>
      <c r="C34" s="207"/>
      <c r="D34" s="207"/>
      <c r="E34" s="207"/>
      <c r="F34" s="207"/>
      <c r="G34" s="207"/>
      <c r="H34" s="207"/>
      <c r="I34" s="207"/>
      <c r="J34" s="207"/>
    </row>
  </sheetData>
  <sheetProtection sheet="1" objects="1" scenarios="1"/>
  <mergeCells count="16">
    <mergeCell ref="B14:J14"/>
    <mergeCell ref="A1:J2"/>
    <mergeCell ref="A4:J4"/>
    <mergeCell ref="A8:J8"/>
    <mergeCell ref="B10:J10"/>
    <mergeCell ref="B12:J12"/>
    <mergeCell ref="B28:J28"/>
    <mergeCell ref="B30:J30"/>
    <mergeCell ref="B32:J32"/>
    <mergeCell ref="B34:J34"/>
    <mergeCell ref="B16:J16"/>
    <mergeCell ref="B18:J18"/>
    <mergeCell ref="B20:J20"/>
    <mergeCell ref="B22:J22"/>
    <mergeCell ref="B24:J24"/>
    <mergeCell ref="B26:J26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78514-A289-4CC9-B37E-57C5167770DD}">
  <dimension ref="A1:D9"/>
  <sheetViews>
    <sheetView zoomScale="140" zoomScaleNormal="140" workbookViewId="0">
      <selection activeCell="F89" sqref="F89"/>
    </sheetView>
  </sheetViews>
  <sheetFormatPr defaultColWidth="11.5703125" defaultRowHeight="12.75"/>
  <cols>
    <col min="1" max="1" width="50.7109375" customWidth="1"/>
    <col min="2" max="3" width="13.140625" customWidth="1"/>
  </cols>
  <sheetData>
    <row r="1" spans="1:4" ht="16.5">
      <c r="A1" s="357" t="s">
        <v>485</v>
      </c>
      <c r="B1" s="357"/>
      <c r="C1" s="357"/>
      <c r="D1" s="357"/>
    </row>
    <row r="2" spans="1:4" ht="16.5">
      <c r="A2" s="195" t="s">
        <v>486</v>
      </c>
      <c r="B2" s="196" t="s">
        <v>487</v>
      </c>
      <c r="C2" s="196" t="s">
        <v>488</v>
      </c>
      <c r="D2" s="196" t="s">
        <v>489</v>
      </c>
    </row>
    <row r="3" spans="1:4" ht="49.5">
      <c r="A3" s="197" t="s">
        <v>490</v>
      </c>
      <c r="B3" s="198"/>
      <c r="C3" s="198">
        <f>5*32.44*2/12</f>
        <v>27.033333333333331</v>
      </c>
      <c r="D3" s="198"/>
    </row>
    <row r="4" spans="1:4" ht="66">
      <c r="A4" s="199" t="s">
        <v>491</v>
      </c>
      <c r="B4" s="200"/>
      <c r="C4" s="200"/>
      <c r="D4" s="200">
        <f>61.34/12</f>
        <v>5.1116666666666672</v>
      </c>
    </row>
    <row r="5" spans="1:4" ht="66">
      <c r="A5" s="197" t="s">
        <v>492</v>
      </c>
      <c r="B5" s="198"/>
      <c r="C5" s="198">
        <f>4*69.67*2/12</f>
        <v>46.446666666666665</v>
      </c>
      <c r="D5" s="198"/>
    </row>
    <row r="6" spans="1:4" ht="49.5">
      <c r="A6" s="199" t="s">
        <v>493</v>
      </c>
      <c r="B6" s="200"/>
      <c r="C6" s="200"/>
      <c r="D6" s="200">
        <f>67.9/12</f>
        <v>5.6583333333333341</v>
      </c>
    </row>
    <row r="7" spans="1:4" ht="16.5">
      <c r="A7" s="197" t="s">
        <v>494</v>
      </c>
      <c r="B7" s="198"/>
      <c r="C7" s="198">
        <f>55.94*2*2/12</f>
        <v>18.646666666666665</v>
      </c>
      <c r="D7" s="198"/>
    </row>
    <row r="8" spans="1:4" ht="33">
      <c r="A8" s="199" t="s">
        <v>495</v>
      </c>
      <c r="B8" s="200"/>
      <c r="C8" s="200">
        <f>14.58*5*2/12</f>
        <v>12.15</v>
      </c>
      <c r="D8" s="200"/>
    </row>
    <row r="9" spans="1:4" ht="16.5">
      <c r="A9" s="201" t="s">
        <v>496</v>
      </c>
      <c r="B9" s="358">
        <v>115.05</v>
      </c>
      <c r="C9" s="358"/>
      <c r="D9" s="358"/>
    </row>
  </sheetData>
  <sheetProtection sheet="1" objects="1" scenarios="1"/>
  <mergeCells count="2">
    <mergeCell ref="A1:D1"/>
    <mergeCell ref="B9:D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48B3E-DB23-4ED6-BF6D-8C3046D6A51F}">
  <dimension ref="A1:G141"/>
  <sheetViews>
    <sheetView showGridLines="0" workbookViewId="0">
      <selection sqref="A1:G1"/>
    </sheetView>
  </sheetViews>
  <sheetFormatPr defaultRowHeight="12.75"/>
  <cols>
    <col min="1" max="1" width="8.85546875" style="48" customWidth="1"/>
    <col min="2" max="2" width="67.5703125" style="49" customWidth="1"/>
    <col min="3" max="3" width="9.85546875" style="48" customWidth="1"/>
    <col min="4" max="4" width="13.28515625" style="48" customWidth="1"/>
    <col min="5" max="5" width="15.140625" style="48" customWidth="1"/>
    <col min="6" max="6" width="17.140625" style="48" customWidth="1"/>
    <col min="7" max="7" width="19.28515625" style="48" customWidth="1"/>
    <col min="8" max="16384" width="9.140625" style="48"/>
  </cols>
  <sheetData>
    <row r="1" spans="1:7" ht="18">
      <c r="A1" s="359" t="s">
        <v>511</v>
      </c>
      <c r="B1" s="359"/>
      <c r="C1" s="359"/>
      <c r="D1" s="359"/>
      <c r="E1" s="359"/>
      <c r="F1" s="359"/>
      <c r="G1" s="359"/>
    </row>
    <row r="2" spans="1:7">
      <c r="A2" s="360" t="s">
        <v>253</v>
      </c>
      <c r="B2" s="360"/>
      <c r="C2" s="360"/>
      <c r="D2" s="360"/>
      <c r="E2" s="360"/>
      <c r="F2" s="360"/>
      <c r="G2" s="360"/>
    </row>
    <row r="3" spans="1:7" ht="23.85" customHeight="1">
      <c r="A3" s="60" t="s">
        <v>18</v>
      </c>
      <c r="B3" s="60" t="s">
        <v>17</v>
      </c>
      <c r="C3" s="60" t="s">
        <v>19</v>
      </c>
      <c r="D3" s="60" t="s">
        <v>122</v>
      </c>
      <c r="E3" s="60" t="s">
        <v>260</v>
      </c>
      <c r="F3" s="60" t="s">
        <v>261</v>
      </c>
      <c r="G3" s="60" t="s">
        <v>121</v>
      </c>
    </row>
    <row r="4" spans="1:7" ht="25.5">
      <c r="A4" s="50">
        <v>1</v>
      </c>
      <c r="B4" s="51" t="s">
        <v>262</v>
      </c>
      <c r="C4" s="50" t="s">
        <v>19</v>
      </c>
      <c r="D4" s="50">
        <v>2</v>
      </c>
      <c r="E4" s="52">
        <v>110.66</v>
      </c>
      <c r="F4" s="52">
        <f t="shared" ref="F4:F39" si="0">D4*E4</f>
        <v>221.32</v>
      </c>
      <c r="G4" s="50" t="s">
        <v>114</v>
      </c>
    </row>
    <row r="5" spans="1:7" ht="38.25">
      <c r="A5" s="50">
        <v>2</v>
      </c>
      <c r="B5" s="51" t="s">
        <v>252</v>
      </c>
      <c r="C5" s="50" t="s">
        <v>19</v>
      </c>
      <c r="D5" s="50">
        <v>1</v>
      </c>
      <c r="E5" s="52">
        <v>218.39</v>
      </c>
      <c r="F5" s="52">
        <f t="shared" si="0"/>
        <v>218.39</v>
      </c>
      <c r="G5" s="50" t="s">
        <v>114</v>
      </c>
    </row>
    <row r="6" spans="1:7" ht="25.5">
      <c r="A6" s="50">
        <v>3</v>
      </c>
      <c r="B6" s="51" t="s">
        <v>251</v>
      </c>
      <c r="C6" s="50" t="s">
        <v>19</v>
      </c>
      <c r="D6" s="50">
        <v>1</v>
      </c>
      <c r="E6" s="52">
        <v>51.99</v>
      </c>
      <c r="F6" s="52">
        <f t="shared" si="0"/>
        <v>51.99</v>
      </c>
      <c r="G6" s="50" t="s">
        <v>114</v>
      </c>
    </row>
    <row r="7" spans="1:7" ht="25.5">
      <c r="A7" s="50">
        <v>4</v>
      </c>
      <c r="B7" s="51" t="s">
        <v>250</v>
      </c>
      <c r="C7" s="50" t="s">
        <v>19</v>
      </c>
      <c r="D7" s="50">
        <v>1</v>
      </c>
      <c r="E7" s="52">
        <v>78</v>
      </c>
      <c r="F7" s="52">
        <f t="shared" si="0"/>
        <v>78</v>
      </c>
      <c r="G7" s="50" t="s">
        <v>114</v>
      </c>
    </row>
    <row r="8" spans="1:7" ht="63.75">
      <c r="A8" s="50">
        <v>5</v>
      </c>
      <c r="B8" s="51" t="s">
        <v>263</v>
      </c>
      <c r="C8" s="50" t="s">
        <v>19</v>
      </c>
      <c r="D8" s="50">
        <v>2</v>
      </c>
      <c r="E8" s="52">
        <v>133.99</v>
      </c>
      <c r="F8" s="52">
        <f t="shared" si="0"/>
        <v>267.98</v>
      </c>
      <c r="G8" s="50" t="s">
        <v>114</v>
      </c>
    </row>
    <row r="9" spans="1:7" ht="89.25">
      <c r="A9" s="50">
        <v>6</v>
      </c>
      <c r="B9" s="51" t="s">
        <v>292</v>
      </c>
      <c r="C9" s="50" t="s">
        <v>19</v>
      </c>
      <c r="D9" s="50">
        <v>2</v>
      </c>
      <c r="E9" s="52">
        <v>54.06</v>
      </c>
      <c r="F9" s="52">
        <f t="shared" si="0"/>
        <v>108.12</v>
      </c>
      <c r="G9" s="50" t="s">
        <v>114</v>
      </c>
    </row>
    <row r="10" spans="1:7" ht="51">
      <c r="A10" s="50">
        <v>7</v>
      </c>
      <c r="B10" s="51" t="s">
        <v>264</v>
      </c>
      <c r="C10" s="50" t="s">
        <v>19</v>
      </c>
      <c r="D10" s="50">
        <v>20</v>
      </c>
      <c r="E10" s="52">
        <v>21.87</v>
      </c>
      <c r="F10" s="52">
        <f t="shared" si="0"/>
        <v>437.40000000000003</v>
      </c>
      <c r="G10" s="50" t="s">
        <v>114</v>
      </c>
    </row>
    <row r="11" spans="1:7" ht="51">
      <c r="A11" s="50">
        <v>8</v>
      </c>
      <c r="B11" s="51" t="s">
        <v>265</v>
      </c>
      <c r="C11" s="50" t="s">
        <v>19</v>
      </c>
      <c r="D11" s="50">
        <v>10</v>
      </c>
      <c r="E11" s="52">
        <v>72.27</v>
      </c>
      <c r="F11" s="52">
        <f t="shared" si="0"/>
        <v>722.69999999999993</v>
      </c>
      <c r="G11" s="50" t="s">
        <v>114</v>
      </c>
    </row>
    <row r="12" spans="1:7" ht="38.25">
      <c r="A12" s="50">
        <v>9</v>
      </c>
      <c r="B12" s="51" t="s">
        <v>266</v>
      </c>
      <c r="C12" s="50" t="s">
        <v>19</v>
      </c>
      <c r="D12" s="50">
        <v>20</v>
      </c>
      <c r="E12" s="52">
        <v>32.39</v>
      </c>
      <c r="F12" s="52">
        <f t="shared" si="0"/>
        <v>647.79999999999995</v>
      </c>
      <c r="G12" s="50" t="s">
        <v>114</v>
      </c>
    </row>
    <row r="13" spans="1:7" ht="38.25">
      <c r="A13" s="50">
        <v>10</v>
      </c>
      <c r="B13" s="51" t="s">
        <v>267</v>
      </c>
      <c r="C13" s="50" t="s">
        <v>19</v>
      </c>
      <c r="D13" s="50">
        <v>10</v>
      </c>
      <c r="E13" s="52">
        <v>39.979999999999997</v>
      </c>
      <c r="F13" s="52">
        <f t="shared" si="0"/>
        <v>399.79999999999995</v>
      </c>
      <c r="G13" s="50" t="s">
        <v>114</v>
      </c>
    </row>
    <row r="14" spans="1:7" ht="89.25">
      <c r="A14" s="50">
        <v>11</v>
      </c>
      <c r="B14" s="51" t="s">
        <v>245</v>
      </c>
      <c r="C14" s="50" t="s">
        <v>19</v>
      </c>
      <c r="D14" s="50">
        <v>30</v>
      </c>
      <c r="E14" s="52">
        <v>7.5</v>
      </c>
      <c r="F14" s="52">
        <f t="shared" si="0"/>
        <v>225</v>
      </c>
      <c r="G14" s="50" t="s">
        <v>114</v>
      </c>
    </row>
    <row r="15" spans="1:7" ht="20.85" customHeight="1">
      <c r="A15" s="50">
        <v>12</v>
      </c>
      <c r="B15" s="51" t="s">
        <v>268</v>
      </c>
      <c r="C15" s="50" t="s">
        <v>19</v>
      </c>
      <c r="D15" s="50">
        <v>30</v>
      </c>
      <c r="E15" s="52">
        <v>9.5399999999999991</v>
      </c>
      <c r="F15" s="52">
        <f t="shared" si="0"/>
        <v>286.2</v>
      </c>
      <c r="G15" s="50" t="s">
        <v>269</v>
      </c>
    </row>
    <row r="16" spans="1:7" ht="51">
      <c r="A16" s="50">
        <v>13</v>
      </c>
      <c r="B16" s="51" t="s">
        <v>270</v>
      </c>
      <c r="C16" s="50" t="s">
        <v>19</v>
      </c>
      <c r="D16" s="50">
        <v>2</v>
      </c>
      <c r="E16" s="52">
        <v>2.5</v>
      </c>
      <c r="F16" s="52">
        <f t="shared" si="0"/>
        <v>5</v>
      </c>
      <c r="G16" s="50" t="s">
        <v>241</v>
      </c>
    </row>
    <row r="17" spans="1:7" ht="51">
      <c r="A17" s="50">
        <v>14</v>
      </c>
      <c r="B17" s="51" t="s">
        <v>271</v>
      </c>
      <c r="C17" s="50" t="s">
        <v>19</v>
      </c>
      <c r="D17" s="50">
        <v>2</v>
      </c>
      <c r="E17" s="52">
        <v>5.3</v>
      </c>
      <c r="F17" s="52">
        <f t="shared" si="0"/>
        <v>10.6</v>
      </c>
      <c r="G17" s="50" t="s">
        <v>242</v>
      </c>
    </row>
    <row r="18" spans="1:7" ht="63.75">
      <c r="A18" s="50">
        <v>15</v>
      </c>
      <c r="B18" s="51" t="s">
        <v>272</v>
      </c>
      <c r="C18" s="50" t="s">
        <v>19</v>
      </c>
      <c r="D18" s="50">
        <v>2</v>
      </c>
      <c r="E18" s="52">
        <v>2.37</v>
      </c>
      <c r="F18" s="52">
        <f t="shared" si="0"/>
        <v>4.74</v>
      </c>
      <c r="G18" s="50" t="s">
        <v>239</v>
      </c>
    </row>
    <row r="19" spans="1:7" ht="63.75">
      <c r="A19" s="50">
        <v>16</v>
      </c>
      <c r="B19" s="51" t="s">
        <v>273</v>
      </c>
      <c r="C19" s="50" t="s">
        <v>19</v>
      </c>
      <c r="D19" s="50">
        <v>2</v>
      </c>
      <c r="E19" s="52">
        <v>2.46</v>
      </c>
      <c r="F19" s="52">
        <f t="shared" si="0"/>
        <v>4.92</v>
      </c>
      <c r="G19" s="50" t="s">
        <v>240</v>
      </c>
    </row>
    <row r="20" spans="1:7" ht="25.5">
      <c r="A20" s="50">
        <v>17</v>
      </c>
      <c r="B20" s="51" t="s">
        <v>274</v>
      </c>
      <c r="C20" s="50" t="s">
        <v>19</v>
      </c>
      <c r="D20" s="50">
        <v>2</v>
      </c>
      <c r="E20" s="52">
        <v>7.1</v>
      </c>
      <c r="F20" s="52">
        <f t="shared" si="0"/>
        <v>14.2</v>
      </c>
      <c r="G20" s="50" t="s">
        <v>275</v>
      </c>
    </row>
    <row r="21" spans="1:7" ht="35.85" customHeight="1">
      <c r="A21" s="50">
        <v>18</v>
      </c>
      <c r="B21" s="51" t="s">
        <v>276</v>
      </c>
      <c r="C21" s="50" t="s">
        <v>19</v>
      </c>
      <c r="D21" s="50">
        <v>2</v>
      </c>
      <c r="E21" s="52">
        <v>8.08</v>
      </c>
      <c r="F21" s="52">
        <f t="shared" si="0"/>
        <v>16.16</v>
      </c>
      <c r="G21" s="50" t="s">
        <v>277</v>
      </c>
    </row>
    <row r="22" spans="1:7" ht="40.35" customHeight="1">
      <c r="A22" s="50">
        <v>19</v>
      </c>
      <c r="B22" s="51" t="s">
        <v>278</v>
      </c>
      <c r="C22" s="50" t="s">
        <v>19</v>
      </c>
      <c r="D22" s="50">
        <v>2</v>
      </c>
      <c r="E22" s="52">
        <v>8.08</v>
      </c>
      <c r="F22" s="52">
        <f t="shared" si="0"/>
        <v>16.16</v>
      </c>
      <c r="G22" s="50" t="s">
        <v>277</v>
      </c>
    </row>
    <row r="23" spans="1:7" ht="63.75">
      <c r="A23" s="50">
        <v>20</v>
      </c>
      <c r="B23" s="51" t="s">
        <v>291</v>
      </c>
      <c r="C23" s="50" t="s">
        <v>97</v>
      </c>
      <c r="D23" s="50">
        <v>200</v>
      </c>
      <c r="E23" s="52">
        <v>2.29</v>
      </c>
      <c r="F23" s="52">
        <f t="shared" si="0"/>
        <v>458</v>
      </c>
      <c r="G23" s="50" t="s">
        <v>279</v>
      </c>
    </row>
    <row r="24" spans="1:7" ht="63.75">
      <c r="A24" s="50">
        <v>21</v>
      </c>
      <c r="B24" s="51" t="s">
        <v>290</v>
      </c>
      <c r="C24" s="50" t="s">
        <v>97</v>
      </c>
      <c r="D24" s="50">
        <v>200</v>
      </c>
      <c r="E24" s="52">
        <v>2.29</v>
      </c>
      <c r="F24" s="52">
        <f t="shared" si="0"/>
        <v>458</v>
      </c>
      <c r="G24" s="50" t="s">
        <v>279</v>
      </c>
    </row>
    <row r="25" spans="1:7" ht="69.2" customHeight="1">
      <c r="A25" s="50">
        <v>22</v>
      </c>
      <c r="B25" s="51" t="s">
        <v>289</v>
      </c>
      <c r="C25" s="50" t="s">
        <v>97</v>
      </c>
      <c r="D25" s="50">
        <v>200</v>
      </c>
      <c r="E25" s="52">
        <v>2.29</v>
      </c>
      <c r="F25" s="52">
        <f t="shared" si="0"/>
        <v>458</v>
      </c>
      <c r="G25" s="50" t="s">
        <v>279</v>
      </c>
    </row>
    <row r="26" spans="1:7" ht="63.75">
      <c r="A26" s="50">
        <v>23</v>
      </c>
      <c r="B26" s="51" t="s">
        <v>288</v>
      </c>
      <c r="C26" s="50" t="s">
        <v>97</v>
      </c>
      <c r="D26" s="50">
        <v>200</v>
      </c>
      <c r="E26" s="52">
        <v>2.29</v>
      </c>
      <c r="F26" s="52">
        <f t="shared" si="0"/>
        <v>458</v>
      </c>
      <c r="G26" s="50" t="s">
        <v>279</v>
      </c>
    </row>
    <row r="27" spans="1:7" ht="63.75">
      <c r="A27" s="50">
        <v>24</v>
      </c>
      <c r="B27" s="51" t="s">
        <v>287</v>
      </c>
      <c r="C27" s="50" t="s">
        <v>97</v>
      </c>
      <c r="D27" s="50">
        <v>200</v>
      </c>
      <c r="E27" s="52">
        <v>2.29</v>
      </c>
      <c r="F27" s="52">
        <f t="shared" si="0"/>
        <v>458</v>
      </c>
      <c r="G27" s="50" t="s">
        <v>279</v>
      </c>
    </row>
    <row r="28" spans="1:7" ht="76.5">
      <c r="A28" s="50">
        <v>25</v>
      </c>
      <c r="B28" s="53" t="s">
        <v>293</v>
      </c>
      <c r="C28" s="50" t="s">
        <v>97</v>
      </c>
      <c r="D28" s="50">
        <v>200</v>
      </c>
      <c r="E28" s="52">
        <v>6.99</v>
      </c>
      <c r="F28" s="52">
        <f t="shared" si="0"/>
        <v>1398</v>
      </c>
      <c r="G28" s="50" t="s">
        <v>114</v>
      </c>
    </row>
    <row r="29" spans="1:7" ht="14.25">
      <c r="A29" s="50"/>
      <c r="B29" s="53" t="s">
        <v>249</v>
      </c>
      <c r="C29" s="54" t="s">
        <v>97</v>
      </c>
      <c r="D29" s="54">
        <v>100</v>
      </c>
      <c r="E29" s="55">
        <v>3.26</v>
      </c>
      <c r="F29" s="55">
        <f t="shared" si="0"/>
        <v>326</v>
      </c>
      <c r="G29" s="56" t="s">
        <v>114</v>
      </c>
    </row>
    <row r="30" spans="1:7" ht="14.25">
      <c r="A30" s="50"/>
      <c r="B30" s="53" t="s">
        <v>248</v>
      </c>
      <c r="C30" s="54" t="s">
        <v>246</v>
      </c>
      <c r="D30" s="54">
        <v>250</v>
      </c>
      <c r="E30" s="55">
        <v>0.64</v>
      </c>
      <c r="F30" s="55">
        <f t="shared" si="0"/>
        <v>160</v>
      </c>
      <c r="G30" s="56" t="s">
        <v>114</v>
      </c>
    </row>
    <row r="31" spans="1:7" ht="14.25">
      <c r="A31" s="50"/>
      <c r="B31" s="53" t="s">
        <v>247</v>
      </c>
      <c r="C31" s="54" t="s">
        <v>246</v>
      </c>
      <c r="D31" s="54">
        <v>250</v>
      </c>
      <c r="E31" s="55">
        <v>0.53</v>
      </c>
      <c r="F31" s="55">
        <f t="shared" si="0"/>
        <v>132.5</v>
      </c>
      <c r="G31" s="56" t="s">
        <v>114</v>
      </c>
    </row>
    <row r="32" spans="1:7" ht="51">
      <c r="A32" s="50">
        <v>26</v>
      </c>
      <c r="B32" s="51" t="s">
        <v>280</v>
      </c>
      <c r="C32" s="50" t="s">
        <v>19</v>
      </c>
      <c r="D32" s="50">
        <v>5</v>
      </c>
      <c r="E32" s="52">
        <v>8.49</v>
      </c>
      <c r="F32" s="52">
        <f t="shared" si="0"/>
        <v>42.45</v>
      </c>
      <c r="G32" s="50" t="s">
        <v>114</v>
      </c>
    </row>
    <row r="33" spans="1:7" ht="51">
      <c r="A33" s="50">
        <v>27</v>
      </c>
      <c r="B33" s="51" t="s">
        <v>281</v>
      </c>
      <c r="C33" s="50" t="s">
        <v>19</v>
      </c>
      <c r="D33" s="50">
        <v>5</v>
      </c>
      <c r="E33" s="52">
        <v>9.25</v>
      </c>
      <c r="F33" s="52">
        <f t="shared" si="0"/>
        <v>46.25</v>
      </c>
      <c r="G33" s="50" t="s">
        <v>114</v>
      </c>
    </row>
    <row r="34" spans="1:7" ht="38.25">
      <c r="A34" s="50">
        <v>28</v>
      </c>
      <c r="B34" s="51" t="s">
        <v>282</v>
      </c>
      <c r="C34" s="50" t="s">
        <v>19</v>
      </c>
      <c r="D34" s="50">
        <v>10</v>
      </c>
      <c r="E34" s="52">
        <v>7.99</v>
      </c>
      <c r="F34" s="52">
        <f t="shared" si="0"/>
        <v>79.900000000000006</v>
      </c>
      <c r="G34" s="50" t="s">
        <v>114</v>
      </c>
    </row>
    <row r="35" spans="1:7" ht="38.25">
      <c r="A35" s="50">
        <v>29</v>
      </c>
      <c r="B35" s="51" t="s">
        <v>283</v>
      </c>
      <c r="C35" s="50" t="s">
        <v>19</v>
      </c>
      <c r="D35" s="50">
        <v>10</v>
      </c>
      <c r="E35" s="52">
        <v>10.61</v>
      </c>
      <c r="F35" s="52">
        <f t="shared" si="0"/>
        <v>106.1</v>
      </c>
      <c r="G35" s="50" t="s">
        <v>114</v>
      </c>
    </row>
    <row r="36" spans="1:7" ht="98.1" customHeight="1">
      <c r="A36" s="50">
        <v>30</v>
      </c>
      <c r="B36" s="51" t="s">
        <v>286</v>
      </c>
      <c r="C36" s="50" t="s">
        <v>19</v>
      </c>
      <c r="D36" s="50">
        <v>10</v>
      </c>
      <c r="E36" s="52">
        <v>41.5</v>
      </c>
      <c r="F36" s="52">
        <f t="shared" si="0"/>
        <v>415</v>
      </c>
      <c r="G36" s="50" t="s">
        <v>114</v>
      </c>
    </row>
    <row r="37" spans="1:7" ht="51" customHeight="1">
      <c r="A37" s="50">
        <v>31</v>
      </c>
      <c r="B37" s="51" t="s">
        <v>284</v>
      </c>
      <c r="C37" s="50" t="s">
        <v>19</v>
      </c>
      <c r="D37" s="50">
        <v>2</v>
      </c>
      <c r="E37" s="52">
        <v>601.62</v>
      </c>
      <c r="F37" s="52">
        <f t="shared" si="0"/>
        <v>1203.24</v>
      </c>
      <c r="G37" s="50" t="s">
        <v>114</v>
      </c>
    </row>
    <row r="38" spans="1:7" ht="51" customHeight="1">
      <c r="A38" s="50">
        <v>32</v>
      </c>
      <c r="B38" s="51" t="s">
        <v>244</v>
      </c>
      <c r="C38" s="56" t="s">
        <v>19</v>
      </c>
      <c r="D38" s="56">
        <v>20</v>
      </c>
      <c r="E38" s="55">
        <v>23.69</v>
      </c>
      <c r="F38" s="55">
        <f t="shared" si="0"/>
        <v>473.8</v>
      </c>
      <c r="G38" s="56" t="s">
        <v>243</v>
      </c>
    </row>
    <row r="39" spans="1:7" ht="62.1" customHeight="1">
      <c r="A39" s="50">
        <v>33</v>
      </c>
      <c r="B39" s="51" t="s">
        <v>285</v>
      </c>
      <c r="C39" s="50" t="s">
        <v>19</v>
      </c>
      <c r="D39" s="50">
        <v>1</v>
      </c>
      <c r="E39" s="52">
        <v>204.27</v>
      </c>
      <c r="F39" s="52">
        <f t="shared" si="0"/>
        <v>204.27</v>
      </c>
      <c r="G39" s="50" t="s">
        <v>114</v>
      </c>
    </row>
    <row r="40" spans="1:7" ht="18" customHeight="1">
      <c r="A40" s="61"/>
      <c r="B40" s="62"/>
      <c r="C40" s="61"/>
      <c r="D40" s="61"/>
      <c r="E40" s="63"/>
      <c r="F40" s="63"/>
      <c r="G40" s="61"/>
    </row>
    <row r="41" spans="1:7">
      <c r="A41" s="361" t="s">
        <v>238</v>
      </c>
      <c r="B41" s="361"/>
      <c r="C41" s="361"/>
      <c r="D41" s="361"/>
      <c r="E41" s="361"/>
      <c r="F41" s="361"/>
      <c r="G41" s="361"/>
    </row>
    <row r="42" spans="1:7" ht="25.5">
      <c r="A42" s="64" t="s">
        <v>18</v>
      </c>
      <c r="B42" s="64" t="s">
        <v>17</v>
      </c>
      <c r="C42" s="64" t="s">
        <v>19</v>
      </c>
      <c r="D42" s="64" t="s">
        <v>122</v>
      </c>
      <c r="E42" s="64" t="s">
        <v>260</v>
      </c>
      <c r="F42" s="64" t="s">
        <v>261</v>
      </c>
      <c r="G42" s="64" t="s">
        <v>121</v>
      </c>
    </row>
    <row r="43" spans="1:7" ht="38.25">
      <c r="A43" s="50">
        <v>1</v>
      </c>
      <c r="B43" s="57" t="s">
        <v>237</v>
      </c>
      <c r="C43" s="50" t="s">
        <v>19</v>
      </c>
      <c r="D43" s="50">
        <v>4</v>
      </c>
      <c r="E43" s="52">
        <v>1.1399999999999999</v>
      </c>
      <c r="F43" s="52">
        <f t="shared" ref="F43:F74" si="1">D43*E43</f>
        <v>4.5599999999999996</v>
      </c>
      <c r="G43" s="50" t="s">
        <v>236</v>
      </c>
    </row>
    <row r="44" spans="1:7" ht="38.25">
      <c r="A44" s="50">
        <v>2</v>
      </c>
      <c r="B44" s="58" t="s">
        <v>235</v>
      </c>
      <c r="C44" s="50" t="s">
        <v>19</v>
      </c>
      <c r="D44" s="50">
        <v>4</v>
      </c>
      <c r="E44" s="52">
        <v>2.37</v>
      </c>
      <c r="F44" s="52">
        <f t="shared" si="1"/>
        <v>9.48</v>
      </c>
      <c r="G44" s="50" t="s">
        <v>234</v>
      </c>
    </row>
    <row r="45" spans="1:7" ht="38.25">
      <c r="A45" s="50">
        <v>3</v>
      </c>
      <c r="B45" s="58" t="s">
        <v>233</v>
      </c>
      <c r="C45" s="50" t="s">
        <v>19</v>
      </c>
      <c r="D45" s="50">
        <v>4</v>
      </c>
      <c r="E45" s="52">
        <v>5.74</v>
      </c>
      <c r="F45" s="52">
        <f t="shared" si="1"/>
        <v>22.96</v>
      </c>
      <c r="G45" s="50" t="s">
        <v>232</v>
      </c>
    </row>
    <row r="46" spans="1:7" ht="38.25">
      <c r="A46" s="50">
        <v>4</v>
      </c>
      <c r="B46" s="58" t="s">
        <v>231</v>
      </c>
      <c r="C46" s="50" t="s">
        <v>19</v>
      </c>
      <c r="D46" s="50">
        <v>4</v>
      </c>
      <c r="E46" s="52">
        <v>15.6</v>
      </c>
      <c r="F46" s="52">
        <f t="shared" si="1"/>
        <v>62.4</v>
      </c>
      <c r="G46" s="50" t="s">
        <v>230</v>
      </c>
    </row>
    <row r="47" spans="1:7" ht="25.5">
      <c r="A47" s="50">
        <v>5</v>
      </c>
      <c r="B47" s="58" t="s">
        <v>229</v>
      </c>
      <c r="C47" s="50" t="s">
        <v>19</v>
      </c>
      <c r="D47" s="50">
        <v>2</v>
      </c>
      <c r="E47" s="52">
        <v>3.53</v>
      </c>
      <c r="F47" s="52">
        <f t="shared" si="1"/>
        <v>7.06</v>
      </c>
      <c r="G47" s="50" t="s">
        <v>228</v>
      </c>
    </row>
    <row r="48" spans="1:7" ht="38.25">
      <c r="A48" s="50">
        <v>6</v>
      </c>
      <c r="B48" s="58" t="s">
        <v>227</v>
      </c>
      <c r="C48" s="50" t="s">
        <v>19</v>
      </c>
      <c r="D48" s="50">
        <v>2</v>
      </c>
      <c r="E48" s="52">
        <v>1.17</v>
      </c>
      <c r="F48" s="52">
        <f t="shared" si="1"/>
        <v>2.34</v>
      </c>
      <c r="G48" s="50" t="s">
        <v>226</v>
      </c>
    </row>
    <row r="49" spans="1:7" ht="38.25">
      <c r="A49" s="50">
        <v>7</v>
      </c>
      <c r="B49" s="58" t="s">
        <v>225</v>
      </c>
      <c r="C49" s="50" t="s">
        <v>19</v>
      </c>
      <c r="D49" s="50">
        <v>4</v>
      </c>
      <c r="E49" s="52">
        <v>2.5499999999999998</v>
      </c>
      <c r="F49" s="52">
        <f t="shared" si="1"/>
        <v>10.199999999999999</v>
      </c>
      <c r="G49" s="50" t="s">
        <v>224</v>
      </c>
    </row>
    <row r="50" spans="1:7" ht="38.25">
      <c r="A50" s="50">
        <v>8</v>
      </c>
      <c r="B50" s="58" t="s">
        <v>223</v>
      </c>
      <c r="C50" s="50" t="s">
        <v>19</v>
      </c>
      <c r="D50" s="50">
        <v>4</v>
      </c>
      <c r="E50" s="52">
        <v>11.72</v>
      </c>
      <c r="F50" s="52">
        <f t="shared" si="1"/>
        <v>46.88</v>
      </c>
      <c r="G50" s="50" t="s">
        <v>222</v>
      </c>
    </row>
    <row r="51" spans="1:7" ht="38.25">
      <c r="A51" s="50">
        <v>9</v>
      </c>
      <c r="B51" s="58" t="s">
        <v>221</v>
      </c>
      <c r="C51" s="50" t="s">
        <v>19</v>
      </c>
      <c r="D51" s="50">
        <v>4</v>
      </c>
      <c r="E51" s="52">
        <v>7.05</v>
      </c>
      <c r="F51" s="52">
        <f t="shared" si="1"/>
        <v>28.2</v>
      </c>
      <c r="G51" s="50" t="s">
        <v>220</v>
      </c>
    </row>
    <row r="52" spans="1:7" ht="38.25">
      <c r="A52" s="50">
        <v>10</v>
      </c>
      <c r="B52" s="58" t="s">
        <v>219</v>
      </c>
      <c r="C52" s="50" t="s">
        <v>19</v>
      </c>
      <c r="D52" s="50">
        <v>4</v>
      </c>
      <c r="E52" s="52">
        <v>5.42</v>
      </c>
      <c r="F52" s="52">
        <f t="shared" si="1"/>
        <v>21.68</v>
      </c>
      <c r="G52" s="50" t="s">
        <v>218</v>
      </c>
    </row>
    <row r="53" spans="1:7" ht="25.5">
      <c r="A53" s="50">
        <v>11</v>
      </c>
      <c r="B53" s="58" t="s">
        <v>217</v>
      </c>
      <c r="C53" s="50" t="s">
        <v>19</v>
      </c>
      <c r="D53" s="50">
        <v>2</v>
      </c>
      <c r="E53" s="52">
        <v>10.17</v>
      </c>
      <c r="F53" s="52">
        <f t="shared" si="1"/>
        <v>20.34</v>
      </c>
      <c r="G53" s="50" t="s">
        <v>216</v>
      </c>
    </row>
    <row r="54" spans="1:7" ht="25.5">
      <c r="A54" s="50">
        <v>12</v>
      </c>
      <c r="B54" s="58" t="s">
        <v>215</v>
      </c>
      <c r="C54" s="50" t="s">
        <v>19</v>
      </c>
      <c r="D54" s="50">
        <v>2</v>
      </c>
      <c r="E54" s="52">
        <v>1.61</v>
      </c>
      <c r="F54" s="52">
        <f t="shared" si="1"/>
        <v>3.22</v>
      </c>
      <c r="G54" s="50" t="s">
        <v>214</v>
      </c>
    </row>
    <row r="55" spans="1:7" ht="22.9" customHeight="1">
      <c r="A55" s="50">
        <v>13</v>
      </c>
      <c r="B55" s="58" t="s">
        <v>213</v>
      </c>
      <c r="C55" s="50" t="s">
        <v>19</v>
      </c>
      <c r="D55" s="50">
        <v>4</v>
      </c>
      <c r="E55" s="52">
        <v>6.3</v>
      </c>
      <c r="F55" s="52">
        <f t="shared" si="1"/>
        <v>25.2</v>
      </c>
      <c r="G55" s="50" t="s">
        <v>114</v>
      </c>
    </row>
    <row r="56" spans="1:7" ht="23.85" customHeight="1">
      <c r="A56" s="50">
        <v>14</v>
      </c>
      <c r="B56" s="58" t="s">
        <v>212</v>
      </c>
      <c r="C56" s="50" t="s">
        <v>19</v>
      </c>
      <c r="D56" s="50">
        <v>4</v>
      </c>
      <c r="E56" s="52">
        <v>6.3</v>
      </c>
      <c r="F56" s="52">
        <f t="shared" si="1"/>
        <v>25.2</v>
      </c>
      <c r="G56" s="50" t="s">
        <v>114</v>
      </c>
    </row>
    <row r="57" spans="1:7" ht="27">
      <c r="A57" s="50">
        <v>15</v>
      </c>
      <c r="B57" s="57" t="s">
        <v>294</v>
      </c>
      <c r="C57" s="50" t="s">
        <v>19</v>
      </c>
      <c r="D57" s="50">
        <v>2</v>
      </c>
      <c r="E57" s="52">
        <v>36.049999999999997</v>
      </c>
      <c r="F57" s="52">
        <f t="shared" si="1"/>
        <v>72.099999999999994</v>
      </c>
      <c r="G57" s="50" t="s">
        <v>114</v>
      </c>
    </row>
    <row r="58" spans="1:7" ht="37.9" customHeight="1">
      <c r="A58" s="50">
        <v>16</v>
      </c>
      <c r="B58" s="58" t="s">
        <v>211</v>
      </c>
      <c r="C58" s="50" t="s">
        <v>19</v>
      </c>
      <c r="D58" s="50">
        <v>4</v>
      </c>
      <c r="E58" s="52">
        <v>0.95</v>
      </c>
      <c r="F58" s="52">
        <f t="shared" si="1"/>
        <v>3.8</v>
      </c>
      <c r="G58" s="50" t="s">
        <v>210</v>
      </c>
    </row>
    <row r="59" spans="1:7" ht="35.85" customHeight="1">
      <c r="A59" s="50">
        <v>17</v>
      </c>
      <c r="B59" s="58" t="s">
        <v>209</v>
      </c>
      <c r="C59" s="50" t="s">
        <v>19</v>
      </c>
      <c r="D59" s="50">
        <v>4</v>
      </c>
      <c r="E59" s="52">
        <v>2.84</v>
      </c>
      <c r="F59" s="52">
        <f t="shared" si="1"/>
        <v>11.36</v>
      </c>
      <c r="G59" s="50" t="s">
        <v>208</v>
      </c>
    </row>
    <row r="60" spans="1:7" ht="33.75" customHeight="1">
      <c r="A60" s="50">
        <v>18</v>
      </c>
      <c r="B60" s="58" t="s">
        <v>207</v>
      </c>
      <c r="C60" s="50" t="s">
        <v>19</v>
      </c>
      <c r="D60" s="50">
        <v>4</v>
      </c>
      <c r="E60" s="52">
        <v>6.74</v>
      </c>
      <c r="F60" s="52">
        <f t="shared" si="1"/>
        <v>26.96</v>
      </c>
      <c r="G60" s="50" t="s">
        <v>206</v>
      </c>
    </row>
    <row r="61" spans="1:7" ht="36.200000000000003" customHeight="1">
      <c r="A61" s="50">
        <v>19</v>
      </c>
      <c r="B61" s="58" t="s">
        <v>205</v>
      </c>
      <c r="C61" s="50" t="s">
        <v>19</v>
      </c>
      <c r="D61" s="50">
        <v>4</v>
      </c>
      <c r="E61" s="52">
        <v>7.3</v>
      </c>
      <c r="F61" s="52">
        <f t="shared" si="1"/>
        <v>29.2</v>
      </c>
      <c r="G61" s="50" t="s">
        <v>204</v>
      </c>
    </row>
    <row r="62" spans="1:7" ht="31.9" customHeight="1">
      <c r="A62" s="50">
        <v>20</v>
      </c>
      <c r="B62" s="58" t="s">
        <v>203</v>
      </c>
      <c r="C62" s="50" t="s">
        <v>19</v>
      </c>
      <c r="D62" s="50">
        <v>4</v>
      </c>
      <c r="E62" s="52">
        <v>31.68</v>
      </c>
      <c r="F62" s="52">
        <f t="shared" si="1"/>
        <v>126.72</v>
      </c>
      <c r="G62" s="50" t="s">
        <v>202</v>
      </c>
    </row>
    <row r="63" spans="1:7" ht="34.9" customHeight="1">
      <c r="A63" s="50">
        <v>21</v>
      </c>
      <c r="B63" s="58" t="s">
        <v>201</v>
      </c>
      <c r="C63" s="50" t="s">
        <v>19</v>
      </c>
      <c r="D63" s="50">
        <v>4</v>
      </c>
      <c r="E63" s="52">
        <v>13.28</v>
      </c>
      <c r="F63" s="52">
        <f t="shared" si="1"/>
        <v>53.12</v>
      </c>
      <c r="G63" s="50" t="s">
        <v>200</v>
      </c>
    </row>
    <row r="64" spans="1:7" ht="34.9" customHeight="1">
      <c r="A64" s="50">
        <v>22</v>
      </c>
      <c r="B64" s="58" t="s">
        <v>199</v>
      </c>
      <c r="C64" s="50" t="s">
        <v>19</v>
      </c>
      <c r="D64" s="50">
        <v>4</v>
      </c>
      <c r="E64" s="52">
        <v>31.77</v>
      </c>
      <c r="F64" s="52">
        <f t="shared" si="1"/>
        <v>127.08</v>
      </c>
      <c r="G64" s="50" t="s">
        <v>198</v>
      </c>
    </row>
    <row r="65" spans="1:7" ht="34.9" customHeight="1">
      <c r="A65" s="50">
        <v>23</v>
      </c>
      <c r="B65" s="58" t="s">
        <v>197</v>
      </c>
      <c r="C65" s="50" t="s">
        <v>19</v>
      </c>
      <c r="D65" s="50">
        <v>4</v>
      </c>
      <c r="E65" s="52">
        <v>41.99</v>
      </c>
      <c r="F65" s="52">
        <f t="shared" si="1"/>
        <v>167.96</v>
      </c>
      <c r="G65" s="50" t="s">
        <v>114</v>
      </c>
    </row>
    <row r="66" spans="1:7" ht="34.9" customHeight="1">
      <c r="A66" s="50">
        <v>24</v>
      </c>
      <c r="B66" s="58" t="s">
        <v>196</v>
      </c>
      <c r="C66" s="50" t="s">
        <v>19</v>
      </c>
      <c r="D66" s="50">
        <v>4</v>
      </c>
      <c r="E66" s="52">
        <v>36.06</v>
      </c>
      <c r="F66" s="52">
        <f t="shared" si="1"/>
        <v>144.24</v>
      </c>
      <c r="G66" s="50" t="s">
        <v>195</v>
      </c>
    </row>
    <row r="67" spans="1:7" ht="34.9" customHeight="1">
      <c r="A67" s="50">
        <v>25</v>
      </c>
      <c r="B67" s="58" t="s">
        <v>194</v>
      </c>
      <c r="C67" s="50" t="s">
        <v>19</v>
      </c>
      <c r="D67" s="50">
        <v>4</v>
      </c>
      <c r="E67" s="52">
        <v>56.32</v>
      </c>
      <c r="F67" s="52">
        <f t="shared" si="1"/>
        <v>225.28</v>
      </c>
      <c r="G67" s="50" t="s">
        <v>193</v>
      </c>
    </row>
    <row r="68" spans="1:7" ht="34.9" customHeight="1">
      <c r="A68" s="50">
        <v>26</v>
      </c>
      <c r="B68" s="58" t="s">
        <v>192</v>
      </c>
      <c r="C68" s="50" t="s">
        <v>19</v>
      </c>
      <c r="D68" s="50">
        <v>4</v>
      </c>
      <c r="E68" s="52">
        <v>6.32</v>
      </c>
      <c r="F68" s="52">
        <f t="shared" si="1"/>
        <v>25.28</v>
      </c>
      <c r="G68" s="50" t="s">
        <v>191</v>
      </c>
    </row>
    <row r="69" spans="1:7" ht="34.9" customHeight="1">
      <c r="A69" s="50">
        <v>27</v>
      </c>
      <c r="B69" s="58" t="s">
        <v>190</v>
      </c>
      <c r="C69" s="50" t="s">
        <v>19</v>
      </c>
      <c r="D69" s="50">
        <v>4</v>
      </c>
      <c r="E69" s="52">
        <v>14.98</v>
      </c>
      <c r="F69" s="52">
        <f t="shared" si="1"/>
        <v>59.92</v>
      </c>
      <c r="G69" s="50" t="s">
        <v>189</v>
      </c>
    </row>
    <row r="70" spans="1:7" ht="34.9" customHeight="1">
      <c r="A70" s="50">
        <v>28</v>
      </c>
      <c r="B70" s="58" t="s">
        <v>188</v>
      </c>
      <c r="C70" s="50" t="s">
        <v>19</v>
      </c>
      <c r="D70" s="50">
        <v>6</v>
      </c>
      <c r="E70" s="52">
        <v>11.58</v>
      </c>
      <c r="F70" s="52">
        <f t="shared" si="1"/>
        <v>69.48</v>
      </c>
      <c r="G70" s="50" t="s">
        <v>187</v>
      </c>
    </row>
    <row r="71" spans="1:7" ht="34.9" customHeight="1">
      <c r="A71" s="50">
        <v>29</v>
      </c>
      <c r="B71" s="58" t="s">
        <v>186</v>
      </c>
      <c r="C71" s="50" t="s">
        <v>19</v>
      </c>
      <c r="D71" s="50">
        <v>4</v>
      </c>
      <c r="E71" s="52">
        <v>19.010000000000002</v>
      </c>
      <c r="F71" s="52">
        <f t="shared" si="1"/>
        <v>76.040000000000006</v>
      </c>
      <c r="G71" s="50" t="s">
        <v>185</v>
      </c>
    </row>
    <row r="72" spans="1:7" ht="34.9" customHeight="1">
      <c r="A72" s="50">
        <v>30</v>
      </c>
      <c r="B72" s="58" t="s">
        <v>184</v>
      </c>
      <c r="C72" s="50" t="s">
        <v>19</v>
      </c>
      <c r="D72" s="50">
        <v>4</v>
      </c>
      <c r="E72" s="52">
        <v>37.03</v>
      </c>
      <c r="F72" s="52">
        <f t="shared" si="1"/>
        <v>148.12</v>
      </c>
      <c r="G72" s="50" t="s">
        <v>183</v>
      </c>
    </row>
    <row r="73" spans="1:7" ht="34.9" customHeight="1">
      <c r="A73" s="50">
        <v>31</v>
      </c>
      <c r="B73" s="58" t="s">
        <v>182</v>
      </c>
      <c r="C73" s="50" t="s">
        <v>19</v>
      </c>
      <c r="D73" s="50">
        <v>4</v>
      </c>
      <c r="E73" s="52">
        <v>40.090000000000003</v>
      </c>
      <c r="F73" s="52">
        <f t="shared" si="1"/>
        <v>160.36000000000001</v>
      </c>
      <c r="G73" s="50" t="s">
        <v>181</v>
      </c>
    </row>
    <row r="74" spans="1:7" ht="34.9" customHeight="1">
      <c r="A74" s="50">
        <v>32</v>
      </c>
      <c r="B74" s="58" t="s">
        <v>180</v>
      </c>
      <c r="C74" s="50" t="s">
        <v>19</v>
      </c>
      <c r="D74" s="50">
        <v>4</v>
      </c>
      <c r="E74" s="52">
        <v>100.92</v>
      </c>
      <c r="F74" s="52">
        <f t="shared" si="1"/>
        <v>403.68</v>
      </c>
      <c r="G74" s="50" t="s">
        <v>179</v>
      </c>
    </row>
    <row r="75" spans="1:7" ht="34.700000000000003" customHeight="1">
      <c r="A75" s="50">
        <v>33</v>
      </c>
      <c r="B75" s="58" t="s">
        <v>178</v>
      </c>
      <c r="C75" s="50" t="s">
        <v>19</v>
      </c>
      <c r="D75" s="50">
        <v>6</v>
      </c>
      <c r="E75" s="52">
        <v>1.02</v>
      </c>
      <c r="F75" s="52">
        <f t="shared" ref="F75:F105" si="2">D75*E75</f>
        <v>6.12</v>
      </c>
      <c r="G75" s="50" t="s">
        <v>177</v>
      </c>
    </row>
    <row r="76" spans="1:7" ht="34.700000000000003" customHeight="1">
      <c r="A76" s="50">
        <v>34</v>
      </c>
      <c r="B76" s="58" t="s">
        <v>176</v>
      </c>
      <c r="C76" s="50" t="s">
        <v>19</v>
      </c>
      <c r="D76" s="50">
        <v>4</v>
      </c>
      <c r="E76" s="52">
        <v>2.5</v>
      </c>
      <c r="F76" s="52">
        <f t="shared" si="2"/>
        <v>10</v>
      </c>
      <c r="G76" s="50" t="s">
        <v>175</v>
      </c>
    </row>
    <row r="77" spans="1:7" ht="34.700000000000003" customHeight="1">
      <c r="A77" s="50">
        <v>35</v>
      </c>
      <c r="B77" s="58" t="s">
        <v>174</v>
      </c>
      <c r="C77" s="50" t="s">
        <v>19</v>
      </c>
      <c r="D77" s="50">
        <v>4</v>
      </c>
      <c r="E77" s="52">
        <v>5.0999999999999996</v>
      </c>
      <c r="F77" s="52">
        <f t="shared" si="2"/>
        <v>20.399999999999999</v>
      </c>
      <c r="G77" s="50" t="s">
        <v>173</v>
      </c>
    </row>
    <row r="78" spans="1:7" ht="34.700000000000003" customHeight="1">
      <c r="A78" s="50">
        <v>36</v>
      </c>
      <c r="B78" s="58" t="s">
        <v>172</v>
      </c>
      <c r="C78" s="50" t="s">
        <v>19</v>
      </c>
      <c r="D78" s="50">
        <v>4</v>
      </c>
      <c r="E78" s="52">
        <v>5.98</v>
      </c>
      <c r="F78" s="52">
        <f t="shared" si="2"/>
        <v>23.92</v>
      </c>
      <c r="G78" s="50" t="s">
        <v>171</v>
      </c>
    </row>
    <row r="79" spans="1:7" ht="34.700000000000003" customHeight="1">
      <c r="A79" s="50">
        <v>37</v>
      </c>
      <c r="B79" s="58" t="s">
        <v>170</v>
      </c>
      <c r="C79" s="50" t="s">
        <v>19</v>
      </c>
      <c r="D79" s="50">
        <v>4</v>
      </c>
      <c r="E79" s="52">
        <v>15.58</v>
      </c>
      <c r="F79" s="52">
        <f t="shared" si="2"/>
        <v>62.32</v>
      </c>
      <c r="G79" s="50" t="s">
        <v>169</v>
      </c>
    </row>
    <row r="80" spans="1:7" ht="34.700000000000003" customHeight="1">
      <c r="A80" s="50">
        <v>38</v>
      </c>
      <c r="B80" s="58" t="s">
        <v>168</v>
      </c>
      <c r="C80" s="50" t="s">
        <v>19</v>
      </c>
      <c r="D80" s="50">
        <v>2</v>
      </c>
      <c r="E80" s="52">
        <v>7</v>
      </c>
      <c r="F80" s="52">
        <f t="shared" si="2"/>
        <v>14</v>
      </c>
      <c r="G80" s="50" t="s">
        <v>167</v>
      </c>
    </row>
    <row r="81" spans="1:7" ht="34.9" customHeight="1">
      <c r="A81" s="50">
        <v>39</v>
      </c>
      <c r="B81" s="58" t="s">
        <v>166</v>
      </c>
      <c r="C81" s="50" t="s">
        <v>19</v>
      </c>
      <c r="D81" s="50">
        <v>8</v>
      </c>
      <c r="E81" s="52">
        <v>4.51</v>
      </c>
      <c r="F81" s="52">
        <f t="shared" si="2"/>
        <v>36.08</v>
      </c>
      <c r="G81" s="50" t="s">
        <v>165</v>
      </c>
    </row>
    <row r="82" spans="1:7" ht="38.25">
      <c r="A82" s="50">
        <v>40</v>
      </c>
      <c r="B82" s="58" t="s">
        <v>164</v>
      </c>
      <c r="C82" s="50" t="s">
        <v>19</v>
      </c>
      <c r="D82" s="50">
        <v>4</v>
      </c>
      <c r="E82" s="52">
        <v>0.15</v>
      </c>
      <c r="F82" s="52">
        <f t="shared" si="2"/>
        <v>0.6</v>
      </c>
      <c r="G82" s="50" t="s">
        <v>163</v>
      </c>
    </row>
    <row r="83" spans="1:7" ht="38.25" customHeight="1">
      <c r="A83" s="50">
        <v>41</v>
      </c>
      <c r="B83" s="58" t="s">
        <v>162</v>
      </c>
      <c r="C83" s="50" t="s">
        <v>19</v>
      </c>
      <c r="D83" s="50">
        <v>4</v>
      </c>
      <c r="E83" s="52">
        <v>4.72</v>
      </c>
      <c r="F83" s="52">
        <f t="shared" si="2"/>
        <v>18.88</v>
      </c>
      <c r="G83" s="50" t="s">
        <v>114</v>
      </c>
    </row>
    <row r="84" spans="1:7" ht="38.25" customHeight="1">
      <c r="A84" s="50">
        <v>42</v>
      </c>
      <c r="B84" s="58" t="s">
        <v>161</v>
      </c>
      <c r="C84" s="50" t="s">
        <v>19</v>
      </c>
      <c r="D84" s="50">
        <v>4</v>
      </c>
      <c r="E84" s="52">
        <v>1.07</v>
      </c>
      <c r="F84" s="52">
        <f t="shared" si="2"/>
        <v>4.28</v>
      </c>
      <c r="G84" s="50" t="s">
        <v>160</v>
      </c>
    </row>
    <row r="85" spans="1:7" ht="48.75" customHeight="1">
      <c r="A85" s="50">
        <v>43</v>
      </c>
      <c r="B85" s="58" t="s">
        <v>159</v>
      </c>
      <c r="C85" s="50" t="s">
        <v>19</v>
      </c>
      <c r="D85" s="50">
        <v>1</v>
      </c>
      <c r="E85" s="52">
        <v>51.69</v>
      </c>
      <c r="F85" s="52">
        <f t="shared" si="2"/>
        <v>51.69</v>
      </c>
      <c r="G85" s="50" t="s">
        <v>158</v>
      </c>
    </row>
    <row r="86" spans="1:7" ht="46.7" customHeight="1">
      <c r="A86" s="50">
        <v>44</v>
      </c>
      <c r="B86" s="58" t="s">
        <v>157</v>
      </c>
      <c r="C86" s="50" t="s">
        <v>19</v>
      </c>
      <c r="D86" s="50">
        <v>1</v>
      </c>
      <c r="E86" s="52">
        <v>123.89</v>
      </c>
      <c r="F86" s="52">
        <f t="shared" si="2"/>
        <v>123.89</v>
      </c>
      <c r="G86" s="50" t="s">
        <v>156</v>
      </c>
    </row>
    <row r="87" spans="1:7" ht="48.75" customHeight="1">
      <c r="A87" s="50">
        <v>45</v>
      </c>
      <c r="B87" s="58" t="s">
        <v>155</v>
      </c>
      <c r="C87" s="50" t="s">
        <v>19</v>
      </c>
      <c r="D87" s="50">
        <v>1</v>
      </c>
      <c r="E87" s="52">
        <v>79.900000000000006</v>
      </c>
      <c r="F87" s="52">
        <f t="shared" si="2"/>
        <v>79.900000000000006</v>
      </c>
      <c r="G87" s="50" t="s">
        <v>154</v>
      </c>
    </row>
    <row r="88" spans="1:7" ht="25.5">
      <c r="A88" s="50">
        <v>46</v>
      </c>
      <c r="B88" s="57" t="s">
        <v>295</v>
      </c>
      <c r="C88" s="50" t="s">
        <v>19</v>
      </c>
      <c r="D88" s="50">
        <v>10</v>
      </c>
      <c r="E88" s="52">
        <v>44.02</v>
      </c>
      <c r="F88" s="52">
        <f t="shared" si="2"/>
        <v>440.20000000000005</v>
      </c>
      <c r="G88" s="50" t="s">
        <v>114</v>
      </c>
    </row>
    <row r="89" spans="1:7" ht="25.5">
      <c r="A89" s="50">
        <v>47</v>
      </c>
      <c r="B89" s="58" t="s">
        <v>153</v>
      </c>
      <c r="C89" s="50" t="s">
        <v>19</v>
      </c>
      <c r="D89" s="50">
        <v>4</v>
      </c>
      <c r="E89" s="52">
        <v>1.61</v>
      </c>
      <c r="F89" s="52">
        <f t="shared" si="2"/>
        <v>6.44</v>
      </c>
      <c r="G89" s="50" t="s">
        <v>152</v>
      </c>
    </row>
    <row r="90" spans="1:7" ht="25.5">
      <c r="A90" s="50">
        <v>48</v>
      </c>
      <c r="B90" s="58" t="s">
        <v>151</v>
      </c>
      <c r="C90" s="50" t="s">
        <v>19</v>
      </c>
      <c r="D90" s="50">
        <v>4</v>
      </c>
      <c r="E90" s="52">
        <v>5.37</v>
      </c>
      <c r="F90" s="52">
        <f t="shared" si="2"/>
        <v>21.48</v>
      </c>
      <c r="G90" s="50" t="s">
        <v>150</v>
      </c>
    </row>
    <row r="91" spans="1:7" ht="25.5">
      <c r="A91" s="50">
        <v>49</v>
      </c>
      <c r="B91" s="58" t="s">
        <v>149</v>
      </c>
      <c r="C91" s="50" t="s">
        <v>19</v>
      </c>
      <c r="D91" s="50">
        <v>4</v>
      </c>
      <c r="E91" s="52">
        <v>11.76</v>
      </c>
      <c r="F91" s="52">
        <f t="shared" si="2"/>
        <v>47.04</v>
      </c>
      <c r="G91" s="50" t="s">
        <v>148</v>
      </c>
    </row>
    <row r="92" spans="1:7" ht="25.5">
      <c r="A92" s="50">
        <v>50</v>
      </c>
      <c r="B92" s="58" t="s">
        <v>147</v>
      </c>
      <c r="C92" s="50" t="s">
        <v>19</v>
      </c>
      <c r="D92" s="50">
        <v>4</v>
      </c>
      <c r="E92" s="52">
        <v>13.14</v>
      </c>
      <c r="F92" s="52">
        <f t="shared" si="2"/>
        <v>52.56</v>
      </c>
      <c r="G92" s="50" t="s">
        <v>146</v>
      </c>
    </row>
    <row r="93" spans="1:7" ht="25.5">
      <c r="A93" s="50">
        <v>51</v>
      </c>
      <c r="B93" s="58" t="s">
        <v>145</v>
      </c>
      <c r="C93" s="50" t="s">
        <v>19</v>
      </c>
      <c r="D93" s="50">
        <v>6</v>
      </c>
      <c r="E93" s="52">
        <v>39.159999999999997</v>
      </c>
      <c r="F93" s="52">
        <f t="shared" si="2"/>
        <v>234.95999999999998</v>
      </c>
      <c r="G93" s="50" t="s">
        <v>144</v>
      </c>
    </row>
    <row r="94" spans="1:7" ht="28.5">
      <c r="A94" s="50">
        <v>52</v>
      </c>
      <c r="B94" s="57" t="s">
        <v>296</v>
      </c>
      <c r="C94" s="50" t="s">
        <v>19</v>
      </c>
      <c r="D94" s="50">
        <v>2</v>
      </c>
      <c r="E94" s="52">
        <v>123.22</v>
      </c>
      <c r="F94" s="52">
        <f t="shared" si="2"/>
        <v>246.44</v>
      </c>
      <c r="G94" s="50" t="s">
        <v>143</v>
      </c>
    </row>
    <row r="95" spans="1:7" ht="25.5">
      <c r="A95" s="50">
        <v>53</v>
      </c>
      <c r="B95" s="57" t="s">
        <v>297</v>
      </c>
      <c r="C95" s="50" t="s">
        <v>19</v>
      </c>
      <c r="D95" s="50">
        <v>2</v>
      </c>
      <c r="E95" s="52">
        <v>78.94</v>
      </c>
      <c r="F95" s="52">
        <f t="shared" si="2"/>
        <v>157.88</v>
      </c>
      <c r="G95" s="50" t="s">
        <v>142</v>
      </c>
    </row>
    <row r="96" spans="1:7" ht="25.5">
      <c r="A96" s="50">
        <v>54</v>
      </c>
      <c r="B96" s="57" t="s">
        <v>298</v>
      </c>
      <c r="C96" s="50" t="s">
        <v>19</v>
      </c>
      <c r="D96" s="50">
        <v>2</v>
      </c>
      <c r="E96" s="52">
        <v>78.14</v>
      </c>
      <c r="F96" s="52">
        <f t="shared" si="2"/>
        <v>156.28</v>
      </c>
      <c r="G96" s="50" t="s">
        <v>141</v>
      </c>
    </row>
    <row r="97" spans="1:7" ht="25.5">
      <c r="A97" s="50">
        <v>55</v>
      </c>
      <c r="B97" s="57" t="s">
        <v>299</v>
      </c>
      <c r="C97" s="50" t="s">
        <v>19</v>
      </c>
      <c r="D97" s="50">
        <v>4</v>
      </c>
      <c r="E97" s="52">
        <v>103.48</v>
      </c>
      <c r="F97" s="52">
        <f t="shared" si="2"/>
        <v>413.92</v>
      </c>
      <c r="G97" s="50" t="s">
        <v>140</v>
      </c>
    </row>
    <row r="98" spans="1:7" ht="38.25">
      <c r="A98" s="50">
        <v>56</v>
      </c>
      <c r="B98" s="58" t="s">
        <v>139</v>
      </c>
      <c r="C98" s="50" t="s">
        <v>19</v>
      </c>
      <c r="D98" s="50">
        <v>1</v>
      </c>
      <c r="E98" s="52">
        <v>16.155999999999999</v>
      </c>
      <c r="F98" s="52">
        <f t="shared" si="2"/>
        <v>16.155999999999999</v>
      </c>
      <c r="G98" s="50" t="s">
        <v>138</v>
      </c>
    </row>
    <row r="99" spans="1:7" ht="38.25">
      <c r="A99" s="50">
        <v>57</v>
      </c>
      <c r="B99" s="58" t="s">
        <v>137</v>
      </c>
      <c r="C99" s="50" t="s">
        <v>19</v>
      </c>
      <c r="D99" s="50">
        <v>1</v>
      </c>
      <c r="E99" s="52">
        <v>4.83</v>
      </c>
      <c r="F99" s="52">
        <f t="shared" si="2"/>
        <v>4.83</v>
      </c>
      <c r="G99" s="50" t="s">
        <v>136</v>
      </c>
    </row>
    <row r="100" spans="1:7" ht="38.25">
      <c r="A100" s="50">
        <v>58</v>
      </c>
      <c r="B100" s="58" t="s">
        <v>135</v>
      </c>
      <c r="C100" s="50" t="s">
        <v>19</v>
      </c>
      <c r="D100" s="50">
        <v>1</v>
      </c>
      <c r="E100" s="52">
        <v>10.84</v>
      </c>
      <c r="F100" s="52">
        <f t="shared" si="2"/>
        <v>10.84</v>
      </c>
      <c r="G100" s="50" t="s">
        <v>134</v>
      </c>
    </row>
    <row r="101" spans="1:7" ht="38.25">
      <c r="A101" s="50">
        <v>59</v>
      </c>
      <c r="B101" s="58" t="s">
        <v>133</v>
      </c>
      <c r="C101" s="50" t="s">
        <v>19</v>
      </c>
      <c r="D101" s="50">
        <v>1</v>
      </c>
      <c r="E101" s="52">
        <v>18.09</v>
      </c>
      <c r="F101" s="52">
        <f t="shared" si="2"/>
        <v>18.09</v>
      </c>
      <c r="G101" s="50" t="s">
        <v>132</v>
      </c>
    </row>
    <row r="102" spans="1:7" ht="38.25">
      <c r="A102" s="50">
        <v>60</v>
      </c>
      <c r="B102" s="58" t="s">
        <v>131</v>
      </c>
      <c r="C102" s="50" t="s">
        <v>19</v>
      </c>
      <c r="D102" s="50">
        <v>1</v>
      </c>
      <c r="E102" s="52">
        <v>30.51</v>
      </c>
      <c r="F102" s="52">
        <f t="shared" si="2"/>
        <v>30.51</v>
      </c>
      <c r="G102" s="50" t="s">
        <v>130</v>
      </c>
    </row>
    <row r="103" spans="1:7">
      <c r="A103" s="50">
        <v>62</v>
      </c>
      <c r="B103" s="57" t="s">
        <v>129</v>
      </c>
      <c r="C103" s="50" t="s">
        <v>19</v>
      </c>
      <c r="D103" s="50">
        <v>3</v>
      </c>
      <c r="E103" s="52">
        <v>229.97</v>
      </c>
      <c r="F103" s="52">
        <f t="shared" si="2"/>
        <v>689.91</v>
      </c>
      <c r="G103" s="50" t="s">
        <v>128</v>
      </c>
    </row>
    <row r="104" spans="1:7">
      <c r="A104" s="50">
        <v>63</v>
      </c>
      <c r="B104" s="57" t="s">
        <v>127</v>
      </c>
      <c r="C104" s="50" t="s">
        <v>19</v>
      </c>
      <c r="D104" s="50">
        <v>3</v>
      </c>
      <c r="E104" s="52">
        <v>179</v>
      </c>
      <c r="F104" s="52">
        <f t="shared" si="2"/>
        <v>537</v>
      </c>
      <c r="G104" s="50" t="s">
        <v>126</v>
      </c>
    </row>
    <row r="105" spans="1:7">
      <c r="A105" s="50">
        <v>64</v>
      </c>
      <c r="B105" s="57" t="s">
        <v>125</v>
      </c>
      <c r="C105" s="50" t="s">
        <v>19</v>
      </c>
      <c r="D105" s="50">
        <v>3</v>
      </c>
      <c r="E105" s="52">
        <v>227.72</v>
      </c>
      <c r="F105" s="52">
        <f t="shared" si="2"/>
        <v>683.16</v>
      </c>
      <c r="G105" s="50" t="s">
        <v>124</v>
      </c>
    </row>
    <row r="106" spans="1:7">
      <c r="A106" s="61"/>
      <c r="B106" s="39"/>
      <c r="C106" s="61"/>
      <c r="D106" s="61"/>
      <c r="E106" s="63"/>
      <c r="F106" s="63"/>
      <c r="G106" s="61"/>
    </row>
    <row r="107" spans="1:7">
      <c r="A107" s="360" t="s">
        <v>123</v>
      </c>
      <c r="B107" s="360"/>
      <c r="C107" s="360"/>
      <c r="D107" s="360"/>
      <c r="E107" s="360"/>
      <c r="F107" s="360"/>
      <c r="G107" s="360"/>
    </row>
    <row r="108" spans="1:7" ht="25.5">
      <c r="A108" s="60" t="s">
        <v>18</v>
      </c>
      <c r="B108" s="60" t="s">
        <v>17</v>
      </c>
      <c r="C108" s="60" t="s">
        <v>19</v>
      </c>
      <c r="D108" s="60" t="s">
        <v>122</v>
      </c>
      <c r="E108" s="60" t="s">
        <v>260</v>
      </c>
      <c r="F108" s="60" t="s">
        <v>261</v>
      </c>
      <c r="G108" s="60" t="s">
        <v>121</v>
      </c>
    </row>
    <row r="109" spans="1:7" ht="28.5">
      <c r="A109" s="50">
        <v>1</v>
      </c>
      <c r="B109" s="57" t="s">
        <v>300</v>
      </c>
      <c r="C109" s="50" t="s">
        <v>19</v>
      </c>
      <c r="D109" s="50">
        <v>6</v>
      </c>
      <c r="E109" s="52">
        <v>6.87</v>
      </c>
      <c r="F109" s="52">
        <f t="shared" ref="F109:F137" si="3">D109*E109</f>
        <v>41.22</v>
      </c>
      <c r="G109" s="50" t="s">
        <v>120</v>
      </c>
    </row>
    <row r="110" spans="1:7" ht="28.5">
      <c r="A110" s="50">
        <v>2</v>
      </c>
      <c r="B110" s="57" t="s">
        <v>301</v>
      </c>
      <c r="C110" s="50" t="s">
        <v>19</v>
      </c>
      <c r="D110" s="50">
        <v>2</v>
      </c>
      <c r="E110" s="52">
        <v>59.44</v>
      </c>
      <c r="F110" s="52">
        <f t="shared" si="3"/>
        <v>118.88</v>
      </c>
      <c r="G110" s="50" t="s">
        <v>114</v>
      </c>
    </row>
    <row r="111" spans="1:7" ht="28.5">
      <c r="A111" s="50">
        <v>3</v>
      </c>
      <c r="B111" s="57" t="s">
        <v>302</v>
      </c>
      <c r="C111" s="50" t="s">
        <v>19</v>
      </c>
      <c r="D111" s="50">
        <v>3</v>
      </c>
      <c r="E111" s="52">
        <v>28.39</v>
      </c>
      <c r="F111" s="52">
        <f t="shared" si="3"/>
        <v>85.17</v>
      </c>
      <c r="G111" s="50" t="s">
        <v>119</v>
      </c>
    </row>
    <row r="112" spans="1:7" ht="28.5">
      <c r="A112" s="50">
        <v>4</v>
      </c>
      <c r="B112" s="57" t="s">
        <v>303</v>
      </c>
      <c r="C112" s="50" t="s">
        <v>19</v>
      </c>
      <c r="D112" s="50">
        <v>3</v>
      </c>
      <c r="E112" s="52">
        <v>51.91</v>
      </c>
      <c r="F112" s="52">
        <f t="shared" si="3"/>
        <v>155.72999999999999</v>
      </c>
      <c r="G112" s="50" t="s">
        <v>114</v>
      </c>
    </row>
    <row r="113" spans="1:7" ht="28.5">
      <c r="A113" s="50">
        <v>5</v>
      </c>
      <c r="B113" s="57" t="s">
        <v>304</v>
      </c>
      <c r="C113" s="50" t="s">
        <v>19</v>
      </c>
      <c r="D113" s="50">
        <v>2</v>
      </c>
      <c r="E113" s="52">
        <v>76.14</v>
      </c>
      <c r="F113" s="52">
        <f t="shared" si="3"/>
        <v>152.28</v>
      </c>
      <c r="G113" s="50" t="s">
        <v>114</v>
      </c>
    </row>
    <row r="114" spans="1:7" ht="28.5">
      <c r="A114" s="50"/>
      <c r="B114" s="57" t="s">
        <v>305</v>
      </c>
      <c r="C114" s="50" t="s">
        <v>19</v>
      </c>
      <c r="D114" s="50">
        <v>2</v>
      </c>
      <c r="E114" s="52">
        <v>56.66</v>
      </c>
      <c r="F114" s="52">
        <f t="shared" si="3"/>
        <v>113.32</v>
      </c>
      <c r="G114" s="50" t="s">
        <v>114</v>
      </c>
    </row>
    <row r="115" spans="1:7" ht="28.5">
      <c r="A115" s="50">
        <v>6</v>
      </c>
      <c r="B115" s="57" t="s">
        <v>306</v>
      </c>
      <c r="C115" s="50" t="s">
        <v>19</v>
      </c>
      <c r="D115" s="50">
        <v>4</v>
      </c>
      <c r="E115" s="52">
        <v>114.65</v>
      </c>
      <c r="F115" s="52">
        <f t="shared" si="3"/>
        <v>458.6</v>
      </c>
      <c r="G115" s="50" t="s">
        <v>118</v>
      </c>
    </row>
    <row r="116" spans="1:7" ht="28.5">
      <c r="A116" s="50">
        <v>7</v>
      </c>
      <c r="B116" s="57" t="s">
        <v>307</v>
      </c>
      <c r="C116" s="50" t="s">
        <v>19</v>
      </c>
      <c r="D116" s="50">
        <v>2</v>
      </c>
      <c r="E116" s="52">
        <v>134.08000000000001</v>
      </c>
      <c r="F116" s="52">
        <f t="shared" si="3"/>
        <v>268.16000000000003</v>
      </c>
      <c r="G116" s="50" t="s">
        <v>117</v>
      </c>
    </row>
    <row r="117" spans="1:7" ht="28.5">
      <c r="A117" s="50">
        <v>8</v>
      </c>
      <c r="B117" s="57" t="s">
        <v>308</v>
      </c>
      <c r="C117" s="50" t="s">
        <v>19</v>
      </c>
      <c r="D117" s="50">
        <v>3</v>
      </c>
      <c r="E117" s="52">
        <v>114.65</v>
      </c>
      <c r="F117" s="52">
        <f t="shared" si="3"/>
        <v>343.95000000000005</v>
      </c>
      <c r="G117" s="50" t="s">
        <v>116</v>
      </c>
    </row>
    <row r="118" spans="1:7" ht="38.25">
      <c r="A118" s="50">
        <v>9</v>
      </c>
      <c r="B118" s="58" t="s">
        <v>115</v>
      </c>
      <c r="C118" s="50" t="s">
        <v>19</v>
      </c>
      <c r="D118" s="50">
        <v>1</v>
      </c>
      <c r="E118" s="52">
        <v>130.5</v>
      </c>
      <c r="F118" s="52">
        <f t="shared" si="3"/>
        <v>130.5</v>
      </c>
      <c r="G118" s="50" t="s">
        <v>114</v>
      </c>
    </row>
    <row r="119" spans="1:7" ht="38.25">
      <c r="A119" s="50">
        <v>10</v>
      </c>
      <c r="B119" s="58" t="s">
        <v>113</v>
      </c>
      <c r="C119" s="50" t="s">
        <v>97</v>
      </c>
      <c r="D119" s="50">
        <v>30</v>
      </c>
      <c r="E119" s="52">
        <v>2.94</v>
      </c>
      <c r="F119" s="52">
        <f t="shared" si="3"/>
        <v>88.2</v>
      </c>
      <c r="G119" s="50" t="s">
        <v>112</v>
      </c>
    </row>
    <row r="120" spans="1:7" ht="38.25">
      <c r="A120" s="50">
        <v>11</v>
      </c>
      <c r="B120" s="58" t="s">
        <v>111</v>
      </c>
      <c r="C120" s="50" t="s">
        <v>97</v>
      </c>
      <c r="D120" s="50">
        <v>150</v>
      </c>
      <c r="E120" s="52">
        <v>0.33</v>
      </c>
      <c r="F120" s="52">
        <f t="shared" si="3"/>
        <v>49.5</v>
      </c>
      <c r="G120" s="50" t="s">
        <v>110</v>
      </c>
    </row>
    <row r="121" spans="1:7" ht="28.5">
      <c r="A121" s="50">
        <v>12</v>
      </c>
      <c r="B121" s="57" t="s">
        <v>309</v>
      </c>
      <c r="C121" s="50" t="s">
        <v>97</v>
      </c>
      <c r="D121" s="50">
        <v>90</v>
      </c>
      <c r="E121" s="52">
        <v>11.12</v>
      </c>
      <c r="F121" s="52">
        <f t="shared" si="3"/>
        <v>1000.8</v>
      </c>
      <c r="G121" s="50" t="s">
        <v>109</v>
      </c>
    </row>
    <row r="122" spans="1:7" ht="25.5">
      <c r="A122" s="50">
        <v>13</v>
      </c>
      <c r="B122" s="58" t="s">
        <v>108</v>
      </c>
      <c r="C122" s="50" t="s">
        <v>89</v>
      </c>
      <c r="D122" s="50">
        <v>10</v>
      </c>
      <c r="E122" s="59">
        <v>76.56</v>
      </c>
      <c r="F122" s="59">
        <f t="shared" si="3"/>
        <v>765.6</v>
      </c>
      <c r="G122" s="50" t="s">
        <v>107</v>
      </c>
    </row>
    <row r="123" spans="1:7" ht="25.5">
      <c r="A123" s="50">
        <v>14</v>
      </c>
      <c r="B123" s="58" t="s">
        <v>106</v>
      </c>
      <c r="C123" s="50" t="s">
        <v>103</v>
      </c>
      <c r="D123" s="50">
        <v>18</v>
      </c>
      <c r="E123" s="59">
        <v>4.57</v>
      </c>
      <c r="F123" s="59">
        <f t="shared" si="3"/>
        <v>82.26</v>
      </c>
      <c r="G123" s="50" t="s">
        <v>105</v>
      </c>
    </row>
    <row r="124" spans="1:7" ht="63.75">
      <c r="A124" s="50">
        <v>15</v>
      </c>
      <c r="B124" s="58" t="s">
        <v>104</v>
      </c>
      <c r="C124" s="50" t="s">
        <v>103</v>
      </c>
      <c r="D124" s="50">
        <v>50</v>
      </c>
      <c r="E124" s="59">
        <v>2.54</v>
      </c>
      <c r="F124" s="59">
        <f t="shared" si="3"/>
        <v>127</v>
      </c>
      <c r="G124" s="50" t="s">
        <v>102</v>
      </c>
    </row>
    <row r="125" spans="1:7" ht="28.5">
      <c r="A125" s="50">
        <v>16</v>
      </c>
      <c r="B125" s="57" t="s">
        <v>310</v>
      </c>
      <c r="C125" s="50" t="s">
        <v>19</v>
      </c>
      <c r="D125" s="50">
        <v>1</v>
      </c>
      <c r="E125" s="52">
        <v>794.33</v>
      </c>
      <c r="F125" s="52">
        <f t="shared" si="3"/>
        <v>794.33</v>
      </c>
      <c r="G125" s="50" t="s">
        <v>101</v>
      </c>
    </row>
    <row r="126" spans="1:7" ht="36.200000000000003" customHeight="1">
      <c r="A126" s="50">
        <v>17</v>
      </c>
      <c r="B126" s="58" t="s">
        <v>100</v>
      </c>
      <c r="C126" s="50" t="s">
        <v>97</v>
      </c>
      <c r="D126" s="50">
        <v>60</v>
      </c>
      <c r="E126" s="52">
        <v>10.81</v>
      </c>
      <c r="F126" s="52">
        <f t="shared" si="3"/>
        <v>648.6</v>
      </c>
      <c r="G126" s="50" t="s">
        <v>99</v>
      </c>
    </row>
    <row r="127" spans="1:7" ht="38.25">
      <c r="A127" s="50">
        <v>18</v>
      </c>
      <c r="B127" s="58" t="s">
        <v>98</v>
      </c>
      <c r="C127" s="50" t="s">
        <v>97</v>
      </c>
      <c r="D127" s="50">
        <v>90</v>
      </c>
      <c r="E127" s="52">
        <v>8.18</v>
      </c>
      <c r="F127" s="52">
        <f t="shared" si="3"/>
        <v>736.19999999999993</v>
      </c>
      <c r="G127" s="50" t="s">
        <v>96</v>
      </c>
    </row>
    <row r="128" spans="1:7">
      <c r="A128" s="50">
        <v>19</v>
      </c>
      <c r="B128" s="58" t="s">
        <v>95</v>
      </c>
      <c r="C128" s="50" t="s">
        <v>19</v>
      </c>
      <c r="D128" s="50">
        <v>30</v>
      </c>
      <c r="E128" s="52">
        <v>15.07</v>
      </c>
      <c r="F128" s="52">
        <f t="shared" si="3"/>
        <v>452.1</v>
      </c>
      <c r="G128" s="50" t="s">
        <v>93</v>
      </c>
    </row>
    <row r="129" spans="1:7">
      <c r="A129" s="50">
        <v>20</v>
      </c>
      <c r="B129" s="58" t="s">
        <v>94</v>
      </c>
      <c r="C129" s="50" t="s">
        <v>19</v>
      </c>
      <c r="D129" s="50">
        <v>30</v>
      </c>
      <c r="E129" s="52">
        <v>15.07</v>
      </c>
      <c r="F129" s="52">
        <f t="shared" si="3"/>
        <v>452.1</v>
      </c>
      <c r="G129" s="50" t="s">
        <v>93</v>
      </c>
    </row>
    <row r="130" spans="1:7">
      <c r="A130" s="50">
        <v>21</v>
      </c>
      <c r="B130" s="58" t="s">
        <v>92</v>
      </c>
      <c r="C130" s="50" t="s">
        <v>89</v>
      </c>
      <c r="D130" s="50">
        <v>3</v>
      </c>
      <c r="E130" s="52">
        <v>206.84</v>
      </c>
      <c r="F130" s="52">
        <f t="shared" si="3"/>
        <v>620.52</v>
      </c>
      <c r="G130" s="50" t="s">
        <v>90</v>
      </c>
    </row>
    <row r="131" spans="1:7">
      <c r="A131" s="50">
        <v>22</v>
      </c>
      <c r="B131" s="58" t="s">
        <v>91</v>
      </c>
      <c r="C131" s="50" t="s">
        <v>89</v>
      </c>
      <c r="D131" s="50">
        <v>3</v>
      </c>
      <c r="E131" s="52">
        <v>206.84</v>
      </c>
      <c r="F131" s="52">
        <f t="shared" si="3"/>
        <v>620.52</v>
      </c>
      <c r="G131" s="50" t="s">
        <v>90</v>
      </c>
    </row>
    <row r="132" spans="1:7" ht="28.5">
      <c r="A132" s="50">
        <v>23</v>
      </c>
      <c r="B132" s="57" t="s">
        <v>311</v>
      </c>
      <c r="C132" s="50" t="s">
        <v>89</v>
      </c>
      <c r="D132" s="50">
        <v>21.6</v>
      </c>
      <c r="E132" s="52">
        <v>19.68</v>
      </c>
      <c r="F132" s="52">
        <f t="shared" si="3"/>
        <v>425.08800000000002</v>
      </c>
      <c r="G132" s="50" t="s">
        <v>88</v>
      </c>
    </row>
    <row r="133" spans="1:7" ht="28.5">
      <c r="A133" s="50">
        <v>24</v>
      </c>
      <c r="B133" s="57" t="s">
        <v>312</v>
      </c>
      <c r="C133" s="50" t="s">
        <v>89</v>
      </c>
      <c r="D133" s="50">
        <v>25.92</v>
      </c>
      <c r="E133" s="52">
        <v>19.68</v>
      </c>
      <c r="F133" s="52">
        <f t="shared" si="3"/>
        <v>510.10560000000004</v>
      </c>
      <c r="G133" s="50" t="s">
        <v>88</v>
      </c>
    </row>
    <row r="134" spans="1:7" ht="42.75">
      <c r="A134" s="50">
        <v>24</v>
      </c>
      <c r="B134" s="57" t="s">
        <v>313</v>
      </c>
      <c r="C134" s="50" t="s">
        <v>19</v>
      </c>
      <c r="D134" s="50">
        <v>10.8</v>
      </c>
      <c r="E134" s="52">
        <v>28.78</v>
      </c>
      <c r="F134" s="52">
        <f t="shared" si="3"/>
        <v>310.82400000000001</v>
      </c>
      <c r="G134" s="50" t="s">
        <v>87</v>
      </c>
    </row>
    <row r="135" spans="1:7" ht="14.25">
      <c r="A135" s="50">
        <v>24</v>
      </c>
      <c r="B135" s="57" t="s">
        <v>314</v>
      </c>
      <c r="C135" s="50" t="s">
        <v>19</v>
      </c>
      <c r="D135" s="50">
        <v>4</v>
      </c>
      <c r="E135" s="52">
        <v>236.77</v>
      </c>
      <c r="F135" s="52">
        <f t="shared" si="3"/>
        <v>947.08</v>
      </c>
      <c r="G135" s="50" t="s">
        <v>86</v>
      </c>
    </row>
    <row r="136" spans="1:7" ht="38.25">
      <c r="A136" s="50">
        <v>25</v>
      </c>
      <c r="B136" s="58" t="s">
        <v>83</v>
      </c>
      <c r="C136" s="50" t="s">
        <v>82</v>
      </c>
      <c r="D136" s="50">
        <v>36</v>
      </c>
      <c r="E136" s="52">
        <v>23.1</v>
      </c>
      <c r="F136" s="52">
        <f t="shared" si="3"/>
        <v>831.6</v>
      </c>
      <c r="G136" s="50" t="s">
        <v>81</v>
      </c>
    </row>
    <row r="137" spans="1:7">
      <c r="A137" s="50">
        <v>26</v>
      </c>
      <c r="B137" s="58" t="s">
        <v>85</v>
      </c>
      <c r="C137" s="50" t="s">
        <v>19</v>
      </c>
      <c r="D137" s="50">
        <v>10</v>
      </c>
      <c r="E137" s="52">
        <v>35</v>
      </c>
      <c r="F137" s="52">
        <f t="shared" si="3"/>
        <v>350</v>
      </c>
      <c r="G137" s="50" t="s">
        <v>84</v>
      </c>
    </row>
    <row r="138" spans="1:7">
      <c r="A138" s="45"/>
      <c r="B138" s="44" t="s">
        <v>80</v>
      </c>
      <c r="C138" s="45"/>
      <c r="D138" s="45"/>
      <c r="E138" s="45"/>
      <c r="F138" s="65">
        <f>SUM(F4:F137)</f>
        <v>28734.423599999998</v>
      </c>
      <c r="G138" s="45"/>
    </row>
    <row r="139" spans="1:7">
      <c r="A139" s="45"/>
      <c r="B139" s="44" t="s">
        <v>79</v>
      </c>
      <c r="C139" s="45"/>
      <c r="D139" s="45"/>
      <c r="E139" s="45"/>
      <c r="F139" s="67">
        <f>'Cálculo do BDI'!C50</f>
        <v>0.17730000000000001</v>
      </c>
      <c r="G139" s="45"/>
    </row>
    <row r="140" spans="1:7">
      <c r="A140" s="45"/>
      <c r="B140" s="46" t="s">
        <v>78</v>
      </c>
      <c r="C140" s="47"/>
      <c r="D140" s="47"/>
      <c r="E140" s="47"/>
      <c r="F140" s="66">
        <f>F138*(1+F139)</f>
        <v>33829.036904280001</v>
      </c>
      <c r="G140" s="45"/>
    </row>
    <row r="141" spans="1:7">
      <c r="A141" s="38"/>
      <c r="B141" s="39"/>
      <c r="C141" s="38"/>
      <c r="D141" s="38"/>
      <c r="E141" s="38"/>
      <c r="F141" s="38"/>
      <c r="G141" s="38"/>
    </row>
  </sheetData>
  <sheetProtection sheet="1" objects="1" scenarios="1"/>
  <mergeCells count="4">
    <mergeCell ref="A1:G1"/>
    <mergeCell ref="A2:G2"/>
    <mergeCell ref="A41:G41"/>
    <mergeCell ref="A107:G107"/>
  </mergeCells>
  <printOptions horizontalCentered="1"/>
  <pageMargins left="0" right="0" top="1.1811023622047245" bottom="1.1236220472440945" header="0.78740157480314954" footer="0.72992125984251977"/>
  <pageSetup paperSize="9" scale="56" fitToWidth="0" fitToHeight="0" pageOrder="overThenDown" orientation="portrait" useFirstPageNumber="1" r:id="rId1"/>
  <headerFooter>
    <oddHeader>&amp;C&amp;A</oddHeader>
    <oddFooter>&amp;CPágina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3596D-12B4-4C0F-A751-DA098A9EC05C}">
  <dimension ref="A1:AMJ42"/>
  <sheetViews>
    <sheetView zoomScale="140" zoomScaleNormal="140" workbookViewId="0">
      <selection activeCell="F89" sqref="F89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9.5703125" style="77" customWidth="1"/>
    <col min="5" max="5" width="13.5703125" style="77" customWidth="1"/>
    <col min="6" max="6" width="15.42578125" style="77" customWidth="1"/>
    <col min="7" max="1024" width="9.140625" style="77"/>
  </cols>
  <sheetData>
    <row r="1" spans="1:6" s="92" customFormat="1" ht="25.5">
      <c r="B1" s="101" t="s">
        <v>384</v>
      </c>
      <c r="C1" s="77"/>
      <c r="D1" s="77"/>
      <c r="E1" s="77"/>
      <c r="F1" s="77"/>
    </row>
    <row r="2" spans="1:6" s="77" customFormat="1">
      <c r="B2" s="90" t="s">
        <v>383</v>
      </c>
      <c r="E2" s="100"/>
      <c r="F2" s="100"/>
    </row>
    <row r="3" spans="1:6" s="77" customFormat="1" ht="33" customHeight="1">
      <c r="B3" s="84">
        <v>1</v>
      </c>
      <c r="C3" s="366" t="s">
        <v>382</v>
      </c>
      <c r="D3" s="366"/>
      <c r="E3" s="366"/>
      <c r="F3" s="86" t="s">
        <v>381</v>
      </c>
    </row>
    <row r="4" spans="1:6" s="77" customFormat="1" ht="16.5" customHeight="1">
      <c r="B4" s="84" t="s">
        <v>345</v>
      </c>
      <c r="C4" s="363" t="s">
        <v>380</v>
      </c>
      <c r="D4" s="363"/>
      <c r="E4" s="363"/>
      <c r="F4" s="85">
        <v>220</v>
      </c>
    </row>
    <row r="5" spans="1:6" s="77" customFormat="1" ht="16.5" customHeight="1">
      <c r="B5" s="84" t="s">
        <v>343</v>
      </c>
      <c r="C5" s="369" t="s">
        <v>379</v>
      </c>
      <c r="D5" s="369"/>
      <c r="E5" s="369"/>
      <c r="F5" s="82">
        <v>7</v>
      </c>
    </row>
    <row r="6" spans="1:6" s="77" customFormat="1" ht="16.5" customHeight="1">
      <c r="B6" s="84" t="s">
        <v>341</v>
      </c>
      <c r="C6" s="363" t="s">
        <v>378</v>
      </c>
      <c r="D6" s="363"/>
      <c r="E6" s="363"/>
      <c r="F6" s="85">
        <v>365</v>
      </c>
    </row>
    <row r="7" spans="1:6" s="77" customFormat="1" ht="16.5" customHeight="1">
      <c r="B7" s="84" t="s">
        <v>377</v>
      </c>
      <c r="C7" s="369" t="s">
        <v>376</v>
      </c>
      <c r="D7" s="369"/>
      <c r="E7" s="369"/>
      <c r="F7" s="99">
        <v>15.2</v>
      </c>
    </row>
    <row r="8" spans="1:6" s="77" customFormat="1" ht="16.5" customHeight="1">
      <c r="B8" s="84" t="s">
        <v>375</v>
      </c>
      <c r="C8" s="363" t="s">
        <v>374</v>
      </c>
      <c r="D8" s="363"/>
      <c r="E8" s="363"/>
      <c r="F8" s="85">
        <v>12</v>
      </c>
    </row>
    <row r="9" spans="1:6" s="77" customFormat="1" ht="16.5" customHeight="1">
      <c r="B9" s="84" t="s">
        <v>373</v>
      </c>
      <c r="C9" s="369" t="s">
        <v>372</v>
      </c>
      <c r="D9" s="369"/>
      <c r="E9" s="369"/>
      <c r="F9" s="82">
        <v>60</v>
      </c>
    </row>
    <row r="10" spans="1:6" s="77" customFormat="1" ht="16.5" customHeight="1">
      <c r="B10" s="84" t="s">
        <v>82</v>
      </c>
      <c r="C10" s="363" t="s">
        <v>371</v>
      </c>
      <c r="D10" s="363"/>
      <c r="E10" s="363"/>
      <c r="F10" s="98">
        <v>52.5</v>
      </c>
    </row>
    <row r="11" spans="1:6" s="81" customFormat="1"/>
    <row r="12" spans="1:6" s="81" customFormat="1">
      <c r="A12" s="77"/>
      <c r="B12" s="90" t="s">
        <v>370</v>
      </c>
      <c r="C12" s="92"/>
      <c r="D12" s="92"/>
      <c r="E12" s="92"/>
      <c r="F12" s="92"/>
    </row>
    <row r="13" spans="1:6" s="81" customFormat="1" ht="15" customHeight="1">
      <c r="A13" s="77"/>
      <c r="B13" s="84" t="s">
        <v>369</v>
      </c>
      <c r="C13" s="366" t="s">
        <v>368</v>
      </c>
      <c r="D13" s="366"/>
      <c r="E13" s="86" t="s">
        <v>367</v>
      </c>
      <c r="F13" s="86" t="s">
        <v>366</v>
      </c>
    </row>
    <row r="14" spans="1:6" s="81" customFormat="1">
      <c r="B14" s="97" t="s">
        <v>349</v>
      </c>
      <c r="C14" s="370" t="s">
        <v>365</v>
      </c>
      <c r="D14" s="370"/>
      <c r="E14" s="96" t="s">
        <v>364</v>
      </c>
      <c r="F14" s="94">
        <v>6</v>
      </c>
    </row>
    <row r="15" spans="1:6" s="81" customFormat="1"/>
    <row r="16" spans="1:6" s="92" customFormat="1">
      <c r="A16" s="81"/>
      <c r="B16" s="90" t="s">
        <v>363</v>
      </c>
      <c r="C16" s="89"/>
      <c r="D16" s="88"/>
      <c r="E16" s="87"/>
      <c r="F16" s="87"/>
    </row>
    <row r="17" spans="1:6" s="92" customFormat="1">
      <c r="A17" s="81"/>
      <c r="B17" s="84">
        <v>3</v>
      </c>
      <c r="C17" s="365" t="s">
        <v>362</v>
      </c>
      <c r="D17" s="365"/>
      <c r="E17" s="365"/>
      <c r="F17" s="86" t="s">
        <v>352</v>
      </c>
    </row>
    <row r="18" spans="1:6" s="92" customFormat="1" ht="16.5" customHeight="1">
      <c r="A18" s="81"/>
      <c r="B18" s="84" t="s">
        <v>333</v>
      </c>
      <c r="C18" s="363" t="s">
        <v>361</v>
      </c>
      <c r="D18" s="363"/>
      <c r="E18" s="363"/>
      <c r="F18" s="95">
        <v>62.93</v>
      </c>
    </row>
    <row r="19" spans="1:6" s="77" customFormat="1">
      <c r="A19" s="81"/>
      <c r="B19" s="86" t="s">
        <v>331</v>
      </c>
      <c r="C19" s="362" t="s">
        <v>360</v>
      </c>
      <c r="D19" s="362"/>
      <c r="E19" s="362"/>
      <c r="F19" s="91">
        <v>5.55</v>
      </c>
    </row>
    <row r="20" spans="1:6" s="92" customFormat="1" ht="15.95" customHeight="1">
      <c r="B20" s="86" t="s">
        <v>349</v>
      </c>
      <c r="C20" s="363" t="s">
        <v>359</v>
      </c>
      <c r="D20" s="363"/>
      <c r="E20" s="363"/>
      <c r="F20" s="93">
        <v>40</v>
      </c>
    </row>
    <row r="21" spans="1:6" s="77" customFormat="1" ht="16.5" customHeight="1">
      <c r="A21" s="81"/>
      <c r="B21" s="86" t="s">
        <v>347</v>
      </c>
      <c r="C21" s="362" t="s">
        <v>358</v>
      </c>
      <c r="D21" s="362"/>
      <c r="E21" s="362"/>
      <c r="F21" s="94">
        <v>94.45</v>
      </c>
    </row>
    <row r="22" spans="1:6" s="77" customFormat="1" ht="16.5" customHeight="1">
      <c r="A22" s="81"/>
      <c r="B22" s="86" t="s">
        <v>345</v>
      </c>
      <c r="C22" s="363" t="s">
        <v>357</v>
      </c>
      <c r="D22" s="363"/>
      <c r="E22" s="363"/>
      <c r="F22" s="93">
        <v>30</v>
      </c>
    </row>
    <row r="23" spans="1:6" s="81" customFormat="1"/>
    <row r="24" spans="1:6" s="92" customFormat="1">
      <c r="B24" s="90" t="s">
        <v>356</v>
      </c>
      <c r="C24" s="89"/>
      <c r="D24" s="88"/>
      <c r="E24" s="77"/>
      <c r="F24" s="77"/>
    </row>
    <row r="25" spans="1:6" s="92" customFormat="1" ht="15" customHeight="1">
      <c r="B25" s="90" t="s">
        <v>355</v>
      </c>
      <c r="C25" s="89"/>
      <c r="D25" s="88"/>
      <c r="E25" s="87"/>
      <c r="F25" s="87"/>
    </row>
    <row r="26" spans="1:6" s="92" customFormat="1" ht="16.5" customHeight="1">
      <c r="B26" s="84" t="s">
        <v>354</v>
      </c>
      <c r="C26" s="366" t="s">
        <v>353</v>
      </c>
      <c r="D26" s="366"/>
      <c r="E26" s="366"/>
      <c r="F26" s="86" t="s">
        <v>352</v>
      </c>
    </row>
    <row r="27" spans="1:6" s="92" customFormat="1" ht="16.5" customHeight="1">
      <c r="B27" s="84" t="s">
        <v>333</v>
      </c>
      <c r="C27" s="363" t="s">
        <v>351</v>
      </c>
      <c r="D27" s="363"/>
      <c r="E27" s="363"/>
      <c r="F27" s="93">
        <v>8</v>
      </c>
    </row>
    <row r="28" spans="1:6" s="77" customFormat="1" ht="16.5" customHeight="1">
      <c r="A28" s="92"/>
      <c r="B28" s="86" t="s">
        <v>331</v>
      </c>
      <c r="C28" s="364" t="s">
        <v>350</v>
      </c>
      <c r="D28" s="364"/>
      <c r="E28" s="364"/>
      <c r="F28" s="94">
        <v>20</v>
      </c>
    </row>
    <row r="29" spans="1:6" s="77" customFormat="1" ht="16.5" customHeight="1">
      <c r="A29" s="92"/>
      <c r="B29" s="86" t="s">
        <v>349</v>
      </c>
      <c r="C29" s="363" t="s">
        <v>348</v>
      </c>
      <c r="D29" s="363"/>
      <c r="E29" s="363"/>
      <c r="F29" s="95">
        <v>1.42</v>
      </c>
    </row>
    <row r="30" spans="1:6" s="77" customFormat="1" ht="16.5" customHeight="1">
      <c r="A30" s="92"/>
      <c r="B30" s="86" t="s">
        <v>347</v>
      </c>
      <c r="C30" s="364" t="s">
        <v>346</v>
      </c>
      <c r="D30" s="364"/>
      <c r="E30" s="364"/>
      <c r="F30" s="91">
        <v>45.22</v>
      </c>
    </row>
    <row r="31" spans="1:6" s="92" customFormat="1" ht="15.95" customHeight="1">
      <c r="A31" s="77"/>
      <c r="B31" s="86" t="s">
        <v>345</v>
      </c>
      <c r="C31" s="363" t="s">
        <v>344</v>
      </c>
      <c r="D31" s="363"/>
      <c r="E31" s="363"/>
      <c r="F31" s="95">
        <f>(154800/34808000)*100</f>
        <v>0.44472535049413925</v>
      </c>
    </row>
    <row r="32" spans="1:6" s="77" customFormat="1" ht="15.75" customHeight="1">
      <c r="A32" s="92"/>
      <c r="B32" s="86" t="s">
        <v>343</v>
      </c>
      <c r="C32" s="364" t="s">
        <v>342</v>
      </c>
      <c r="D32" s="364"/>
      <c r="E32" s="364"/>
      <c r="F32" s="94">
        <v>15</v>
      </c>
    </row>
    <row r="33" spans="1:6" s="77" customFormat="1" ht="15.75" customHeight="1">
      <c r="A33" s="92"/>
      <c r="B33" s="86" t="s">
        <v>341</v>
      </c>
      <c r="C33" s="363" t="s">
        <v>340</v>
      </c>
      <c r="D33" s="363"/>
      <c r="E33" s="363"/>
      <c r="F33" s="93">
        <v>180</v>
      </c>
    </row>
    <row r="34" spans="1:6" s="77" customFormat="1" ht="16.5" customHeight="1">
      <c r="A34" s="92"/>
      <c r="B34" s="86" t="s">
        <v>339</v>
      </c>
      <c r="C34" s="364" t="s">
        <v>338</v>
      </c>
      <c r="D34" s="364"/>
      <c r="E34" s="364"/>
      <c r="F34" s="91">
        <v>54.78</v>
      </c>
    </row>
    <row r="35" spans="1:6" s="81" customFormat="1" ht="8.25" customHeight="1"/>
    <row r="36" spans="1:6" s="77" customFormat="1">
      <c r="B36" s="90" t="s">
        <v>337</v>
      </c>
      <c r="C36" s="89"/>
      <c r="D36" s="88"/>
      <c r="E36" s="87"/>
      <c r="F36" s="87"/>
    </row>
    <row r="37" spans="1:6" s="77" customFormat="1">
      <c r="B37" s="84" t="s">
        <v>336</v>
      </c>
      <c r="C37" s="365" t="s">
        <v>335</v>
      </c>
      <c r="D37" s="365"/>
      <c r="E37" s="365"/>
      <c r="F37" s="86" t="s">
        <v>334</v>
      </c>
    </row>
    <row r="38" spans="1:6" s="77" customFormat="1" ht="16.5" customHeight="1">
      <c r="B38" s="84" t="s">
        <v>333</v>
      </c>
      <c r="C38" s="367" t="s">
        <v>332</v>
      </c>
      <c r="D38" s="367"/>
      <c r="E38" s="367"/>
      <c r="F38" s="85">
        <f>PERC_HORA_EXTRA</f>
        <v>0</v>
      </c>
    </row>
    <row r="39" spans="1:6" s="77" customFormat="1" ht="15" customHeight="1">
      <c r="B39" s="84" t="s">
        <v>331</v>
      </c>
      <c r="C39" s="364" t="s">
        <v>330</v>
      </c>
      <c r="D39" s="364"/>
      <c r="E39" s="364"/>
      <c r="F39" s="82">
        <f>TEMPO_INTERVALO_REFEICAO</f>
        <v>0</v>
      </c>
    </row>
    <row r="40" spans="1:6" s="81" customFormat="1"/>
    <row r="41" spans="1:6" s="77" customFormat="1" ht="20.25">
      <c r="B41" s="80" t="s">
        <v>329</v>
      </c>
      <c r="C41" s="79"/>
      <c r="D41" s="79"/>
      <c r="E41" s="79"/>
      <c r="F41" s="78"/>
    </row>
    <row r="42" spans="1:6" s="77" customFormat="1" ht="33.75" customHeight="1">
      <c r="B42" s="368" t="s">
        <v>328</v>
      </c>
      <c r="C42" s="368"/>
      <c r="D42" s="368"/>
      <c r="E42" s="368"/>
      <c r="F42" s="368"/>
    </row>
  </sheetData>
  <sheetProtection sheet="1" objects="1" scenarios="1"/>
  <mergeCells count="29">
    <mergeCell ref="C17:E17"/>
    <mergeCell ref="C18:E18"/>
    <mergeCell ref="C3:E3"/>
    <mergeCell ref="C4:E4"/>
    <mergeCell ref="C5:E5"/>
    <mergeCell ref="C6:E6"/>
    <mergeCell ref="C7:E7"/>
    <mergeCell ref="C8:E8"/>
    <mergeCell ref="C9:E9"/>
    <mergeCell ref="C10:E10"/>
    <mergeCell ref="C13:D13"/>
    <mergeCell ref="C14:D14"/>
    <mergeCell ref="C38:E38"/>
    <mergeCell ref="C39:E39"/>
    <mergeCell ref="B42:F42"/>
    <mergeCell ref="C30:E30"/>
    <mergeCell ref="C31:E31"/>
    <mergeCell ref="C32:E32"/>
    <mergeCell ref="C33:E33"/>
    <mergeCell ref="C19:E19"/>
    <mergeCell ref="C20:E20"/>
    <mergeCell ref="C34:E34"/>
    <mergeCell ref="C37:E37"/>
    <mergeCell ref="C21:E21"/>
    <mergeCell ref="C22:E22"/>
    <mergeCell ref="C26:E26"/>
    <mergeCell ref="C27:E27"/>
    <mergeCell ref="C28:E28"/>
    <mergeCell ref="C29:E29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A219EA50-1F4E-4741-ACDC-E8E6DAF83603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EC1BE-E429-4896-819D-58F9DD5CD403}">
  <dimension ref="A1:AMJ34"/>
  <sheetViews>
    <sheetView zoomScale="140" zoomScaleNormal="140" workbookViewId="0">
      <selection activeCell="F89" sqref="F89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22" style="77" customWidth="1"/>
    <col min="5" max="5" width="13.5703125" style="77" customWidth="1"/>
    <col min="6" max="6" width="43.85546875" style="77" customWidth="1"/>
    <col min="7" max="7" width="51.7109375" style="77" customWidth="1"/>
    <col min="8" max="1024" width="9.140625" style="77"/>
  </cols>
  <sheetData>
    <row r="1" spans="2:7" s="92" customFormat="1" ht="25.5">
      <c r="B1" s="101" t="s">
        <v>385</v>
      </c>
      <c r="C1" s="77"/>
      <c r="D1" s="77"/>
      <c r="E1" s="77"/>
      <c r="F1" s="77"/>
      <c r="G1" s="77"/>
    </row>
    <row r="2" spans="2:7" s="77" customFormat="1">
      <c r="B2" s="90" t="s">
        <v>386</v>
      </c>
      <c r="E2" s="102"/>
    </row>
    <row r="3" spans="2:7" s="77" customFormat="1">
      <c r="B3" s="90" t="s">
        <v>387</v>
      </c>
      <c r="C3" s="89"/>
      <c r="D3" s="88"/>
      <c r="E3" s="87"/>
    </row>
    <row r="4" spans="2:7" s="77" customFormat="1">
      <c r="B4" s="84" t="s">
        <v>388</v>
      </c>
      <c r="C4" s="365" t="s">
        <v>389</v>
      </c>
      <c r="D4" s="365"/>
      <c r="E4" s="86" t="s">
        <v>366</v>
      </c>
      <c r="F4" s="86" t="s">
        <v>390</v>
      </c>
    </row>
    <row r="5" spans="2:7" s="77" customFormat="1" ht="16.5" customHeight="1">
      <c r="B5" s="84" t="s">
        <v>333</v>
      </c>
      <c r="C5" s="363" t="s">
        <v>391</v>
      </c>
      <c r="D5" s="363"/>
      <c r="E5" s="103">
        <f>(1/MESES_NO_ANO)*100</f>
        <v>8.3333333333333321</v>
      </c>
      <c r="F5" s="103" t="s">
        <v>392</v>
      </c>
    </row>
    <row r="6" spans="2:7" s="77" customFormat="1" ht="16.5" customHeight="1">
      <c r="B6" s="86" t="s">
        <v>331</v>
      </c>
      <c r="C6" s="364" t="s">
        <v>393</v>
      </c>
      <c r="D6" s="364"/>
      <c r="E6" s="104">
        <f>(1/3)/MESES_NO_ANO*100</f>
        <v>2.7777777777777777</v>
      </c>
      <c r="F6" s="104" t="s">
        <v>394</v>
      </c>
    </row>
    <row r="7" spans="2:7" s="81" customFormat="1" ht="16.5" customHeight="1">
      <c r="B7" s="371" t="s">
        <v>395</v>
      </c>
      <c r="C7" s="371"/>
      <c r="D7" s="371"/>
      <c r="E7" s="371"/>
      <c r="F7" s="371"/>
    </row>
    <row r="8" spans="2:7" s="81" customFormat="1" ht="34.5" customHeight="1">
      <c r="B8" s="84" t="s">
        <v>396</v>
      </c>
      <c r="C8" s="372" t="s">
        <v>397</v>
      </c>
      <c r="D8" s="372"/>
      <c r="E8" s="86" t="s">
        <v>366</v>
      </c>
    </row>
    <row r="9" spans="2:7" s="77" customFormat="1" ht="16.5" customHeight="1">
      <c r="B9" s="84" t="s">
        <v>333</v>
      </c>
      <c r="C9" s="363" t="s">
        <v>398</v>
      </c>
      <c r="D9" s="363"/>
      <c r="E9" s="103">
        <v>20</v>
      </c>
    </row>
    <row r="10" spans="2:7" s="92" customFormat="1" ht="16.5" customHeight="1">
      <c r="B10" s="86" t="s">
        <v>331</v>
      </c>
      <c r="C10" s="364" t="s">
        <v>399</v>
      </c>
      <c r="D10" s="364"/>
      <c r="E10" s="105">
        <v>2.5</v>
      </c>
    </row>
    <row r="11" spans="2:7" s="92" customFormat="1" ht="16.5" customHeight="1">
      <c r="B11" s="86" t="s">
        <v>349</v>
      </c>
      <c r="C11" s="363" t="s">
        <v>400</v>
      </c>
      <c r="D11" s="363"/>
      <c r="E11" s="103">
        <v>3</v>
      </c>
    </row>
    <row r="12" spans="2:7" s="92" customFormat="1" ht="16.5" customHeight="1">
      <c r="B12" s="86" t="s">
        <v>347</v>
      </c>
      <c r="C12" s="364" t="s">
        <v>401</v>
      </c>
      <c r="D12" s="364"/>
      <c r="E12" s="104">
        <v>1.5</v>
      </c>
    </row>
    <row r="13" spans="2:7" s="92" customFormat="1" ht="16.5" customHeight="1">
      <c r="B13" s="86" t="s">
        <v>345</v>
      </c>
      <c r="C13" s="363" t="s">
        <v>402</v>
      </c>
      <c r="D13" s="363"/>
      <c r="E13" s="103">
        <v>1</v>
      </c>
    </row>
    <row r="14" spans="2:7" s="92" customFormat="1" ht="16.5" customHeight="1">
      <c r="B14" s="86" t="s">
        <v>343</v>
      </c>
      <c r="C14" s="364" t="s">
        <v>403</v>
      </c>
      <c r="D14" s="364"/>
      <c r="E14" s="105">
        <v>0.6</v>
      </c>
    </row>
    <row r="15" spans="2:7" s="92" customFormat="1" ht="16.5" customHeight="1">
      <c r="B15" s="86" t="s">
        <v>341</v>
      </c>
      <c r="C15" s="363" t="s">
        <v>404</v>
      </c>
      <c r="D15" s="363"/>
      <c r="E15" s="103">
        <v>0.2</v>
      </c>
    </row>
    <row r="16" spans="2:7" s="77" customFormat="1" ht="16.5" customHeight="1">
      <c r="B16" s="86" t="s">
        <v>339</v>
      </c>
      <c r="C16" s="364" t="s">
        <v>405</v>
      </c>
      <c r="D16" s="364"/>
      <c r="E16" s="105">
        <v>8</v>
      </c>
    </row>
    <row r="17" spans="2:6" s="77" customFormat="1">
      <c r="B17" s="365" t="s">
        <v>406</v>
      </c>
      <c r="C17" s="365"/>
      <c r="D17" s="365"/>
      <c r="E17" s="106">
        <f>SUM(E9:E16)</f>
        <v>36.799999999999997</v>
      </c>
    </row>
    <row r="18" spans="2:6" s="81" customFormat="1">
      <c r="B18" s="90" t="s">
        <v>363</v>
      </c>
      <c r="C18" s="89"/>
      <c r="D18" s="88"/>
      <c r="E18" s="87"/>
    </row>
    <row r="19" spans="2:6" s="81" customFormat="1" ht="15" customHeight="1">
      <c r="B19" s="84">
        <v>3</v>
      </c>
      <c r="C19" s="365" t="s">
        <v>362</v>
      </c>
      <c r="D19" s="365"/>
      <c r="E19" s="86" t="s">
        <v>366</v>
      </c>
      <c r="F19" s="86" t="s">
        <v>390</v>
      </c>
    </row>
    <row r="20" spans="2:6" s="81" customFormat="1">
      <c r="B20" s="84" t="s">
        <v>333</v>
      </c>
      <c r="C20" s="373" t="s">
        <v>407</v>
      </c>
      <c r="D20" s="373"/>
      <c r="E20" s="103">
        <f>PERC_EMPREG_DEMIT_SEM_JUSTA_CAUSA_TOTAL_DESLIG%*PERC_EMPREG_AVISO_PREVIO_IND%*1/MESES_NO_ANO*100</f>
        <v>0.29105124999999998</v>
      </c>
      <c r="F20" s="103" t="s">
        <v>408</v>
      </c>
    </row>
    <row r="21" spans="2:6" s="81" customFormat="1">
      <c r="B21" s="86" t="s">
        <v>331</v>
      </c>
      <c r="C21" s="374" t="s">
        <v>409</v>
      </c>
      <c r="D21" s="374"/>
      <c r="E21" s="105">
        <f>PERC_EMPREG_DEMIT_SEM_JUSTA_CAUSA_TOTAL_DESLIG%*PERC_EMPREG_AVISO_PREVIO_TRAB%*(DIAS_NA_SEMANA/DIAS_NO_MES)/MESES_NO_ANO*100</f>
        <v>1.1557269305555555</v>
      </c>
      <c r="F21" s="104" t="s">
        <v>410</v>
      </c>
    </row>
    <row r="22" spans="2:6" s="92" customFormat="1" ht="16.5" customHeight="1">
      <c r="B22" s="86" t="s">
        <v>349</v>
      </c>
      <c r="C22" s="373" t="s">
        <v>411</v>
      </c>
      <c r="D22" s="373"/>
      <c r="E22" s="103">
        <f>ROUNDUP(PERC_AVISO_PREVIO_TRAB%*(PERC_MULTA_FGTS%)*PERC_FGTS%*100,2)</f>
        <v>0.04</v>
      </c>
      <c r="F22" s="103" t="s">
        <v>412</v>
      </c>
    </row>
    <row r="23" spans="2:6" s="92" customFormat="1" ht="15.95" customHeight="1">
      <c r="B23" s="90" t="s">
        <v>356</v>
      </c>
      <c r="C23" s="89"/>
      <c r="D23" s="88"/>
      <c r="E23" s="77"/>
    </row>
    <row r="24" spans="2:6" s="92" customFormat="1" ht="15.95" customHeight="1">
      <c r="B24" s="90" t="s">
        <v>355</v>
      </c>
      <c r="C24" s="89"/>
      <c r="D24" s="88"/>
      <c r="E24" s="87"/>
    </row>
    <row r="25" spans="2:6" s="92" customFormat="1" ht="16.5" customHeight="1">
      <c r="B25" s="84" t="s">
        <v>354</v>
      </c>
      <c r="C25" s="366" t="s">
        <v>353</v>
      </c>
      <c r="D25" s="366"/>
      <c r="E25" s="86" t="s">
        <v>366</v>
      </c>
      <c r="F25" s="86" t="s">
        <v>390</v>
      </c>
    </row>
    <row r="26" spans="2:6" s="92" customFormat="1" ht="15.95" customHeight="1">
      <c r="B26" s="86" t="s">
        <v>333</v>
      </c>
      <c r="C26" s="363" t="s">
        <v>413</v>
      </c>
      <c r="D26" s="363"/>
      <c r="E26" s="103">
        <f>(1/MESES_NO_ANO)*100</f>
        <v>8.3333333333333321</v>
      </c>
      <c r="F26" s="103" t="s">
        <v>414</v>
      </c>
    </row>
    <row r="27" spans="2:6" s="92" customFormat="1" ht="15.95" customHeight="1">
      <c r="B27" s="86" t="s">
        <v>331</v>
      </c>
      <c r="C27" s="83" t="s">
        <v>415</v>
      </c>
      <c r="D27" s="83"/>
      <c r="E27" s="105">
        <f>(DIAS_AUSENCIAS_LEGAIS/DIAS_NO_MES)/MESES_NO_ANO*100</f>
        <v>2.2222222222222223</v>
      </c>
      <c r="F27" s="104" t="s">
        <v>416</v>
      </c>
    </row>
    <row r="28" spans="2:6" s="92" customFormat="1" ht="15.95" customHeight="1">
      <c r="B28" s="86" t="s">
        <v>349</v>
      </c>
      <c r="C28" s="363" t="s">
        <v>417</v>
      </c>
      <c r="D28" s="363"/>
      <c r="E28" s="103">
        <f>(((DIAS_LICENCA_PATERNIDADE/DIAS_NO_MES)/MESES_NO_ANO)*PERC_NASCIDOS_VIVOS_POPUL_FEM%*PERC_PARTIC_MASC_VIGIL%)*100</f>
        <v>3.5673555555555549E-2</v>
      </c>
      <c r="F28" s="103" t="s">
        <v>418</v>
      </c>
    </row>
    <row r="29" spans="2:6" s="92" customFormat="1" ht="16.5" customHeight="1">
      <c r="B29" s="86" t="s">
        <v>347</v>
      </c>
      <c r="C29" s="364" t="s">
        <v>419</v>
      </c>
      <c r="D29" s="364"/>
      <c r="E29" s="105">
        <f>(DIAS_PAGOS_EMPRESA_ACID_TRAB/DIAS_NO_MES)/MESES_NO_ANO*PERC_EMPREG_AFAST_TRAB%*100</f>
        <v>1.85302229372558E-2</v>
      </c>
      <c r="F29" s="104" t="s">
        <v>420</v>
      </c>
    </row>
    <row r="30" spans="2:6" s="92" customFormat="1" ht="33" customHeight="1">
      <c r="B30" s="86" t="s">
        <v>345</v>
      </c>
      <c r="C30" s="363" t="s">
        <v>421</v>
      </c>
      <c r="D30" s="363"/>
      <c r="E30" s="103">
        <f>(((DIAS_LICENCA_MATERNIDADE/DIAS_NO_MES)/MESES_NO_ANO)*PERC_NASCIDOS_VIVOS_POPUL_FEM%*PERC_PARTIC_FEM_VIGIL%*PERC_GPS_FGTS%*100)</f>
        <v>0.14312918399999999</v>
      </c>
      <c r="F30" s="103" t="s">
        <v>422</v>
      </c>
    </row>
    <row r="31" spans="2:6" s="92" customFormat="1">
      <c r="B31" s="86" t="s">
        <v>343</v>
      </c>
      <c r="C31" s="364" t="str">
        <f>OUTRAS_AUSENCIAS_DESCRICAO</f>
        <v>Outras Ausências (Especificar - em %)</v>
      </c>
      <c r="D31" s="364"/>
      <c r="E31" s="105">
        <f>PERC_SUBSTITUTO_OUTRAS_AUSENCIAS</f>
        <v>0</v>
      </c>
      <c r="F31" s="104"/>
    </row>
    <row r="33" spans="2:7" s="77" customFormat="1" ht="20.25">
      <c r="B33" s="80" t="s">
        <v>329</v>
      </c>
    </row>
    <row r="34" spans="2:7" s="77" customFormat="1" ht="42.75" customHeight="1">
      <c r="B34" s="368" t="s">
        <v>328</v>
      </c>
      <c r="C34" s="368"/>
      <c r="D34" s="368"/>
      <c r="E34" s="368"/>
      <c r="G34" s="107"/>
    </row>
  </sheetData>
  <sheetProtection sheet="1" objects="1" scenarios="1"/>
  <mergeCells count="25">
    <mergeCell ref="B34:E34"/>
    <mergeCell ref="C25:D25"/>
    <mergeCell ref="C26:D26"/>
    <mergeCell ref="C28:D28"/>
    <mergeCell ref="C29:D29"/>
    <mergeCell ref="C30:D30"/>
    <mergeCell ref="C31:D31"/>
    <mergeCell ref="C22:D22"/>
    <mergeCell ref="C10:D10"/>
    <mergeCell ref="C11:D11"/>
    <mergeCell ref="C12:D12"/>
    <mergeCell ref="C13:D13"/>
    <mergeCell ref="C14:D14"/>
    <mergeCell ref="C15:D15"/>
    <mergeCell ref="C16:D16"/>
    <mergeCell ref="B17:D17"/>
    <mergeCell ref="C19:D19"/>
    <mergeCell ref="C20:D20"/>
    <mergeCell ref="C21:D21"/>
    <mergeCell ref="C9:D9"/>
    <mergeCell ref="C4:D4"/>
    <mergeCell ref="C5:D5"/>
    <mergeCell ref="C6:D6"/>
    <mergeCell ref="B7:F7"/>
    <mergeCell ref="C8:D8"/>
  </mergeCells>
  <dataValidations count="2"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188EE01B-2B7D-47FC-8E69-A706437470FB}">
      <formula1>0</formula1>
      <formula2>1.94</formula2>
    </dataValidation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E9CF5A5F-7EE0-412F-83EC-3FDCA1A1B16F}">
      <formula1>0</formula1>
      <formula2>0.46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6"/>
  <sheetViews>
    <sheetView showGridLines="0" view="pageBreakPreview" zoomScale="120" zoomScaleNormal="120" zoomScaleSheetLayoutView="120" zoomScalePageLayoutView="90" workbookViewId="0">
      <selection activeCell="G44" sqref="G44:G46"/>
    </sheetView>
  </sheetViews>
  <sheetFormatPr defaultRowHeight="12.75"/>
  <cols>
    <col min="1" max="1" width="9.140625" customWidth="1"/>
    <col min="2" max="4" width="15.28515625" customWidth="1"/>
    <col min="5" max="5" width="13.14062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223" t="s">
        <v>508</v>
      </c>
      <c r="B2" s="223"/>
      <c r="C2" s="223"/>
      <c r="D2" s="223"/>
      <c r="E2" s="223"/>
      <c r="F2" s="223"/>
      <c r="G2" s="223"/>
      <c r="H2" s="223"/>
      <c r="I2" s="223"/>
    </row>
    <row r="3" spans="1:9">
      <c r="A3" s="3"/>
      <c r="B3" s="3"/>
      <c r="C3" s="3"/>
      <c r="D3" s="3"/>
      <c r="E3" s="3"/>
      <c r="F3" s="3"/>
      <c r="G3" s="3"/>
      <c r="H3" s="3"/>
      <c r="I3" s="3"/>
    </row>
    <row r="4" spans="1:9" ht="17.45" customHeight="1">
      <c r="A4" s="223" t="s">
        <v>315</v>
      </c>
      <c r="B4" s="223"/>
      <c r="C4" s="223"/>
      <c r="D4" s="223"/>
      <c r="E4" s="223"/>
      <c r="F4" s="223"/>
      <c r="G4" s="223"/>
      <c r="H4" s="223"/>
      <c r="I4" s="223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1:9" ht="17.45" customHeight="1">
      <c r="A6" s="224" t="s">
        <v>0</v>
      </c>
      <c r="B6" s="224"/>
      <c r="C6" s="224"/>
      <c r="D6" s="224"/>
      <c r="E6" s="224"/>
      <c r="F6" s="224"/>
      <c r="G6" s="224"/>
      <c r="H6" s="224"/>
      <c r="I6" s="224"/>
    </row>
    <row r="7" spans="1:9">
      <c r="A7" s="4"/>
      <c r="B7" s="4"/>
      <c r="C7" s="4"/>
      <c r="D7" s="4"/>
      <c r="E7" s="4"/>
      <c r="F7" s="4"/>
      <c r="G7" s="4"/>
      <c r="H7" s="4"/>
      <c r="I7" s="4"/>
    </row>
    <row r="8" spans="1:9" ht="120.75" customHeight="1">
      <c r="A8" s="225" t="s">
        <v>514</v>
      </c>
      <c r="B8" s="225"/>
      <c r="C8" s="225"/>
      <c r="D8" s="225"/>
      <c r="E8" s="225"/>
      <c r="F8" s="225"/>
      <c r="G8" s="225"/>
      <c r="H8" s="225"/>
      <c r="I8" s="225"/>
    </row>
    <row r="9" spans="1:9" ht="15">
      <c r="A9" s="5"/>
      <c r="B9" s="5"/>
      <c r="C9" s="5"/>
      <c r="D9" s="5"/>
      <c r="E9" s="5"/>
      <c r="F9" s="5"/>
      <c r="G9" s="5"/>
      <c r="H9" s="5"/>
      <c r="I9" s="5"/>
    </row>
    <row r="10" spans="1:9" ht="14.1" customHeight="1">
      <c r="A10" s="5"/>
      <c r="B10" s="226" t="s">
        <v>1</v>
      </c>
      <c r="C10" s="226"/>
      <c r="D10" s="226"/>
      <c r="E10" s="226"/>
      <c r="F10" s="5"/>
      <c r="G10" s="5"/>
      <c r="H10" s="5"/>
      <c r="I10" s="5"/>
    </row>
    <row r="11" spans="1:9" ht="14.1" customHeight="1">
      <c r="A11" s="6"/>
      <c r="B11" s="211" t="s">
        <v>2</v>
      </c>
      <c r="C11" s="211"/>
      <c r="D11" s="212" t="s">
        <v>20</v>
      </c>
      <c r="E11" s="212"/>
      <c r="F11" s="6"/>
      <c r="G11" s="6"/>
      <c r="H11" s="6"/>
      <c r="I11" s="6"/>
    </row>
    <row r="12" spans="1:9" ht="14.1" customHeight="1">
      <c r="A12" s="5"/>
      <c r="B12" s="213" t="s">
        <v>3</v>
      </c>
      <c r="C12" s="213"/>
      <c r="D12" s="214" t="s">
        <v>507</v>
      </c>
      <c r="E12" s="214"/>
      <c r="F12" s="5"/>
      <c r="G12" s="5"/>
      <c r="H12" s="5"/>
      <c r="I12" s="5"/>
    </row>
    <row r="13" spans="1:9" ht="14.25">
      <c r="A13" s="6"/>
      <c r="B13" s="6"/>
      <c r="C13" s="6"/>
      <c r="D13" s="6"/>
      <c r="E13" s="6"/>
      <c r="F13" s="6"/>
      <c r="G13" s="6"/>
      <c r="H13" s="6"/>
      <c r="I13" s="6"/>
    </row>
    <row r="14" spans="1:9" ht="14.1" customHeight="1">
      <c r="A14" s="215" t="s">
        <v>4</v>
      </c>
      <c r="B14" s="215"/>
      <c r="C14" s="215"/>
      <c r="D14" s="215"/>
      <c r="E14" s="215"/>
      <c r="F14" s="215"/>
      <c r="G14" s="215"/>
      <c r="H14" s="215"/>
      <c r="I14" s="215"/>
    </row>
    <row r="15" spans="1:9" ht="11.25" customHeight="1">
      <c r="A15" s="6"/>
      <c r="B15" s="6"/>
      <c r="C15" s="6"/>
      <c r="D15" s="6"/>
      <c r="E15" s="6"/>
      <c r="F15" s="6"/>
      <c r="G15" s="6"/>
      <c r="H15" s="6"/>
      <c r="I15" s="6"/>
    </row>
    <row r="16" spans="1:9" ht="62.25" customHeight="1">
      <c r="A16" s="24" t="s">
        <v>316</v>
      </c>
      <c r="B16" s="210" t="s">
        <v>21</v>
      </c>
      <c r="C16" s="210"/>
      <c r="D16" s="210"/>
      <c r="E16" s="210"/>
      <c r="F16" s="210"/>
      <c r="G16" s="210"/>
      <c r="H16" s="210"/>
      <c r="I16" s="210"/>
    </row>
    <row r="17" spans="1:9">
      <c r="A17" s="3"/>
      <c r="B17" s="3"/>
      <c r="C17" s="3"/>
      <c r="D17" s="3"/>
      <c r="E17" s="3"/>
      <c r="F17" s="3"/>
      <c r="G17" s="3"/>
      <c r="H17" s="3"/>
      <c r="I17" s="3"/>
    </row>
    <row r="18" spans="1:9" ht="28.5" customHeight="1">
      <c r="A18" s="219" t="s">
        <v>26</v>
      </c>
      <c r="B18" s="255"/>
      <c r="C18" s="255"/>
      <c r="D18" s="220"/>
      <c r="E18" s="23" t="s">
        <v>30</v>
      </c>
      <c r="F18" s="23" t="s">
        <v>31</v>
      </c>
      <c r="G18" s="23" t="s">
        <v>32</v>
      </c>
      <c r="H18" s="219" t="s">
        <v>24</v>
      </c>
      <c r="I18" s="220"/>
    </row>
    <row r="19" spans="1:9" ht="27" customHeight="1">
      <c r="A19" s="216" t="s">
        <v>27</v>
      </c>
      <c r="B19" s="217"/>
      <c r="C19" s="217"/>
      <c r="D19" s="218"/>
      <c r="E19" s="20">
        <v>1</v>
      </c>
      <c r="F19" s="20">
        <v>220</v>
      </c>
      <c r="G19" s="194">
        <f>'Oficial de Manutenção'!VALOR_TOTAL_EMPREGADO</f>
        <v>0</v>
      </c>
      <c r="H19" s="221">
        <f t="shared" ref="H19:H21" si="0">G19*12</f>
        <v>0</v>
      </c>
      <c r="I19" s="222"/>
    </row>
    <row r="20" spans="1:9" ht="12.75" customHeight="1">
      <c r="A20" s="216" t="s">
        <v>28</v>
      </c>
      <c r="B20" s="217"/>
      <c r="C20" s="217"/>
      <c r="D20" s="218"/>
      <c r="E20" s="20">
        <v>1</v>
      </c>
      <c r="F20" s="20">
        <v>220</v>
      </c>
      <c r="G20" s="205">
        <f>'Auxiliar de Manutenção'!VALOR_TOTAL_EMPREGADO</f>
        <v>0</v>
      </c>
      <c r="H20" s="221">
        <f t="shared" si="0"/>
        <v>0</v>
      </c>
      <c r="I20" s="222"/>
    </row>
    <row r="21" spans="1:9" ht="12.75" customHeight="1">
      <c r="A21" s="216" t="s">
        <v>29</v>
      </c>
      <c r="B21" s="217"/>
      <c r="C21" s="217"/>
      <c r="D21" s="218"/>
      <c r="E21" s="20">
        <v>1</v>
      </c>
      <c r="F21" s="20">
        <v>220</v>
      </c>
      <c r="G21" s="194">
        <f>Eletrotécnico!VALOR_TOTAL_EMPREGADO</f>
        <v>0</v>
      </c>
      <c r="H21" s="221">
        <f t="shared" si="0"/>
        <v>0</v>
      </c>
      <c r="I21" s="222"/>
    </row>
    <row r="22" spans="1:9" ht="12.75" customHeight="1">
      <c r="A22" s="228" t="s">
        <v>25</v>
      </c>
      <c r="B22" s="229"/>
      <c r="C22" s="229"/>
      <c r="D22" s="229"/>
      <c r="E22" s="229"/>
      <c r="F22" s="229"/>
      <c r="G22" s="230"/>
      <c r="H22" s="233">
        <f>SUM(H19:I21)</f>
        <v>0</v>
      </c>
      <c r="I22" s="234"/>
    </row>
    <row r="23" spans="1:9">
      <c r="A23" s="3"/>
      <c r="B23" s="3"/>
      <c r="C23" s="3"/>
      <c r="D23" s="3"/>
      <c r="E23" s="3"/>
      <c r="F23" s="3"/>
      <c r="G23" s="3"/>
      <c r="H23" s="3"/>
      <c r="I23" s="3"/>
    </row>
    <row r="24" spans="1:9" ht="28.5" customHeight="1">
      <c r="A24" s="235" t="s">
        <v>42</v>
      </c>
      <c r="B24" s="235"/>
      <c r="C24" s="235"/>
      <c r="D24" s="235"/>
      <c r="E24" s="23" t="s">
        <v>31</v>
      </c>
      <c r="F24" s="23" t="s">
        <v>22</v>
      </c>
      <c r="G24" s="23" t="s">
        <v>23</v>
      </c>
      <c r="H24" s="235" t="s">
        <v>24</v>
      </c>
      <c r="I24" s="235"/>
    </row>
    <row r="25" spans="1:9" ht="12.75" customHeight="1">
      <c r="A25" s="236" t="s">
        <v>34</v>
      </c>
      <c r="B25" s="236"/>
      <c r="C25" s="236"/>
      <c r="D25" s="236"/>
      <c r="E25" s="20">
        <v>8</v>
      </c>
      <c r="F25" s="20">
        <f>E25*12</f>
        <v>96</v>
      </c>
      <c r="G25" s="68"/>
      <c r="H25" s="227">
        <f>ROUNDDOWN(F25*G25,2)</f>
        <v>0</v>
      </c>
      <c r="I25" s="227"/>
    </row>
    <row r="26" spans="1:9" ht="12.75" customHeight="1">
      <c r="A26" s="237" t="s">
        <v>35</v>
      </c>
      <c r="B26" s="237"/>
      <c r="C26" s="237"/>
      <c r="D26" s="237"/>
      <c r="E26" s="20">
        <v>8</v>
      </c>
      <c r="F26" s="20">
        <f t="shared" ref="F26:F33" si="1">E26*12</f>
        <v>96</v>
      </c>
      <c r="G26" s="68"/>
      <c r="H26" s="227">
        <f t="shared" ref="H26:H33" si="2">ROUNDDOWN(F26*G26,2)</f>
        <v>0</v>
      </c>
      <c r="I26" s="227"/>
    </row>
    <row r="27" spans="1:9" ht="12.75" customHeight="1">
      <c r="A27" s="237" t="s">
        <v>36</v>
      </c>
      <c r="B27" s="237"/>
      <c r="C27" s="237"/>
      <c r="D27" s="237"/>
      <c r="E27" s="20">
        <v>8</v>
      </c>
      <c r="F27" s="20">
        <f t="shared" si="1"/>
        <v>96</v>
      </c>
      <c r="G27" s="68"/>
      <c r="H27" s="227">
        <f t="shared" si="2"/>
        <v>0</v>
      </c>
      <c r="I27" s="227"/>
    </row>
    <row r="28" spans="1:9" ht="12.75" customHeight="1">
      <c r="A28" s="237" t="s">
        <v>37</v>
      </c>
      <c r="B28" s="237"/>
      <c r="C28" s="237"/>
      <c r="D28" s="237"/>
      <c r="E28" s="20">
        <v>8</v>
      </c>
      <c r="F28" s="20">
        <f t="shared" si="1"/>
        <v>96</v>
      </c>
      <c r="G28" s="68"/>
      <c r="H28" s="227">
        <f t="shared" si="2"/>
        <v>0</v>
      </c>
      <c r="I28" s="227"/>
    </row>
    <row r="29" spans="1:9" ht="12.75" customHeight="1">
      <c r="A29" s="237" t="s">
        <v>28</v>
      </c>
      <c r="B29" s="237"/>
      <c r="C29" s="237"/>
      <c r="D29" s="237"/>
      <c r="E29" s="20">
        <v>12</v>
      </c>
      <c r="F29" s="20">
        <f t="shared" si="1"/>
        <v>144</v>
      </c>
      <c r="G29" s="68"/>
      <c r="H29" s="227">
        <f t="shared" si="2"/>
        <v>0</v>
      </c>
      <c r="I29" s="227"/>
    </row>
    <row r="30" spans="1:9" ht="12.75" customHeight="1">
      <c r="A30" s="237" t="s">
        <v>38</v>
      </c>
      <c r="B30" s="237"/>
      <c r="C30" s="237"/>
      <c r="D30" s="237"/>
      <c r="E30" s="20">
        <v>8</v>
      </c>
      <c r="F30" s="20">
        <f t="shared" si="1"/>
        <v>96</v>
      </c>
      <c r="G30" s="68"/>
      <c r="H30" s="227">
        <f t="shared" si="2"/>
        <v>0</v>
      </c>
      <c r="I30" s="227"/>
    </row>
    <row r="31" spans="1:9" ht="12.75" customHeight="1">
      <c r="A31" s="237" t="s">
        <v>39</v>
      </c>
      <c r="B31" s="237"/>
      <c r="C31" s="237"/>
      <c r="D31" s="237"/>
      <c r="E31" s="20">
        <v>8</v>
      </c>
      <c r="F31" s="20">
        <f t="shared" si="1"/>
        <v>96</v>
      </c>
      <c r="G31" s="68"/>
      <c r="H31" s="227">
        <f t="shared" si="2"/>
        <v>0</v>
      </c>
      <c r="I31" s="227"/>
    </row>
    <row r="32" spans="1:9" ht="12.75" customHeight="1">
      <c r="A32" s="237" t="s">
        <v>40</v>
      </c>
      <c r="B32" s="237"/>
      <c r="C32" s="237"/>
      <c r="D32" s="237"/>
      <c r="E32" s="20">
        <v>8</v>
      </c>
      <c r="F32" s="20">
        <f t="shared" si="1"/>
        <v>96</v>
      </c>
      <c r="G32" s="68"/>
      <c r="H32" s="227">
        <f t="shared" si="2"/>
        <v>0</v>
      </c>
      <c r="I32" s="227"/>
    </row>
    <row r="33" spans="1:9" ht="12.75" customHeight="1">
      <c r="A33" s="249" t="s">
        <v>41</v>
      </c>
      <c r="B33" s="249"/>
      <c r="C33" s="249"/>
      <c r="D33" s="249"/>
      <c r="E33" s="20">
        <v>8</v>
      </c>
      <c r="F33" s="20">
        <f t="shared" si="1"/>
        <v>96</v>
      </c>
      <c r="G33" s="68"/>
      <c r="H33" s="227">
        <f t="shared" si="2"/>
        <v>0</v>
      </c>
      <c r="I33" s="227"/>
    </row>
    <row r="34" spans="1:9" ht="12.75" customHeight="1">
      <c r="A34" s="244" t="s">
        <v>33</v>
      </c>
      <c r="B34" s="244"/>
      <c r="C34" s="244"/>
      <c r="D34" s="244"/>
      <c r="E34" s="244"/>
      <c r="F34" s="244"/>
      <c r="G34" s="244"/>
      <c r="H34" s="250">
        <f>SUM(H25:I33)</f>
        <v>0</v>
      </c>
      <c r="I34" s="250"/>
    </row>
    <row r="35" spans="1:9" ht="12.75" customHeight="1">
      <c r="A35" s="21"/>
      <c r="B35" s="21"/>
      <c r="C35" s="21"/>
      <c r="D35" s="21"/>
      <c r="E35" s="21"/>
      <c r="F35" s="21"/>
      <c r="G35" s="21"/>
      <c r="H35" s="22"/>
      <c r="I35" s="22"/>
    </row>
    <row r="36" spans="1:9">
      <c r="A36" s="251" t="s">
        <v>44</v>
      </c>
      <c r="B36" s="252"/>
      <c r="C36" s="252"/>
      <c r="D36" s="252"/>
      <c r="E36" s="252"/>
      <c r="F36" s="252"/>
      <c r="G36" s="252"/>
      <c r="H36" s="252"/>
      <c r="I36" s="253"/>
    </row>
    <row r="37" spans="1:9" ht="25.5" customHeight="1">
      <c r="A37" s="238" t="s">
        <v>43</v>
      </c>
      <c r="B37" s="239"/>
      <c r="C37" s="239"/>
      <c r="D37" s="240"/>
      <c r="E37" s="238" t="s">
        <v>22</v>
      </c>
      <c r="F37" s="240"/>
      <c r="G37" s="19" t="s">
        <v>23</v>
      </c>
      <c r="H37" s="238" t="s">
        <v>24</v>
      </c>
      <c r="I37" s="240"/>
    </row>
    <row r="38" spans="1:9" ht="12.75" customHeight="1">
      <c r="A38" s="216" t="s">
        <v>45</v>
      </c>
      <c r="B38" s="217"/>
      <c r="C38" s="217"/>
      <c r="D38" s="218"/>
      <c r="E38" s="245">
        <v>127.25</v>
      </c>
      <c r="F38" s="246"/>
      <c r="G38" s="68"/>
      <c r="H38" s="221">
        <f>ROUNDDOWN(E38*G38,2)</f>
        <v>0</v>
      </c>
      <c r="I38" s="222"/>
    </row>
    <row r="39" spans="1:9" ht="12.75" customHeight="1">
      <c r="A39" s="241" t="s">
        <v>46</v>
      </c>
      <c r="B39" s="242"/>
      <c r="C39" s="242"/>
      <c r="D39" s="243"/>
      <c r="E39" s="245">
        <v>584.25</v>
      </c>
      <c r="F39" s="246"/>
      <c r="G39" s="68"/>
      <c r="H39" s="221">
        <f>ROUNDDOWN(E39*G39,2)</f>
        <v>0</v>
      </c>
      <c r="I39" s="222"/>
    </row>
    <row r="40" spans="1:9" ht="12.75" customHeight="1">
      <c r="A40" s="228" t="s">
        <v>49</v>
      </c>
      <c r="B40" s="229"/>
      <c r="C40" s="229"/>
      <c r="D40" s="229"/>
      <c r="E40" s="229"/>
      <c r="F40" s="229"/>
      <c r="G40" s="230"/>
      <c r="H40" s="233">
        <f>SUM(H38:I39)</f>
        <v>0</v>
      </c>
      <c r="I40" s="234"/>
    </row>
    <row r="41" spans="1:9" ht="12.75" customHeight="1">
      <c r="A41" s="21"/>
      <c r="B41" s="21"/>
      <c r="C41" s="21"/>
      <c r="D41" s="21"/>
      <c r="E41" s="21"/>
      <c r="F41" s="21"/>
      <c r="G41" s="21"/>
      <c r="H41" s="22"/>
      <c r="I41" s="22"/>
    </row>
    <row r="42" spans="1:9" ht="12.75" customHeight="1">
      <c r="A42" s="251" t="s">
        <v>48</v>
      </c>
      <c r="B42" s="252"/>
      <c r="C42" s="252"/>
      <c r="D42" s="252"/>
      <c r="E42" s="252"/>
      <c r="F42" s="252"/>
      <c r="G42" s="252"/>
      <c r="H42" s="252"/>
      <c r="I42" s="253"/>
    </row>
    <row r="43" spans="1:9" ht="12.75" customHeight="1">
      <c r="A43" s="238" t="s">
        <v>43</v>
      </c>
      <c r="B43" s="239"/>
      <c r="C43" s="239"/>
      <c r="D43" s="240"/>
      <c r="E43" s="238" t="s">
        <v>22</v>
      </c>
      <c r="F43" s="240"/>
      <c r="G43" s="19" t="s">
        <v>23</v>
      </c>
      <c r="H43" s="238" t="s">
        <v>24</v>
      </c>
      <c r="I43" s="240"/>
    </row>
    <row r="44" spans="1:9" ht="12.75" customHeight="1">
      <c r="A44" s="216" t="s">
        <v>45</v>
      </c>
      <c r="B44" s="217"/>
      <c r="C44" s="217"/>
      <c r="D44" s="218"/>
      <c r="E44" s="245">
        <v>16</v>
      </c>
      <c r="F44" s="246"/>
      <c r="G44" s="68"/>
      <c r="H44" s="221">
        <f>ROUNDDOWN(E44*G44,2)</f>
        <v>0</v>
      </c>
      <c r="I44" s="222"/>
    </row>
    <row r="45" spans="1:9" ht="12.75" customHeight="1">
      <c r="A45" s="247" t="s">
        <v>47</v>
      </c>
      <c r="B45" s="247"/>
      <c r="C45" s="247"/>
      <c r="D45" s="248"/>
      <c r="E45" s="245">
        <v>16</v>
      </c>
      <c r="F45" s="246"/>
      <c r="G45" s="68"/>
      <c r="H45" s="221">
        <f t="shared" ref="H45:H46" si="3">ROUNDDOWN(E45*G45,2)</f>
        <v>0</v>
      </c>
      <c r="I45" s="222"/>
    </row>
    <row r="46" spans="1:9" ht="12.75" customHeight="1">
      <c r="A46" s="241" t="s">
        <v>46</v>
      </c>
      <c r="B46" s="242"/>
      <c r="C46" s="242"/>
      <c r="D46" s="243"/>
      <c r="E46" s="245">
        <v>140.5</v>
      </c>
      <c r="F46" s="246"/>
      <c r="G46" s="68"/>
      <c r="H46" s="221">
        <f t="shared" si="3"/>
        <v>0</v>
      </c>
      <c r="I46" s="222"/>
    </row>
    <row r="47" spans="1:9" ht="12.75" customHeight="1">
      <c r="A47" s="228" t="s">
        <v>50</v>
      </c>
      <c r="B47" s="229"/>
      <c r="C47" s="229"/>
      <c r="D47" s="229"/>
      <c r="E47" s="229"/>
      <c r="F47" s="229"/>
      <c r="G47" s="230"/>
      <c r="H47" s="233">
        <f>SUM(H44:I46)</f>
        <v>0</v>
      </c>
      <c r="I47" s="234"/>
    </row>
    <row r="48" spans="1:9" ht="12.75" customHeight="1">
      <c r="A48" s="21"/>
      <c r="B48" s="21"/>
      <c r="C48" s="21"/>
      <c r="D48" s="21"/>
      <c r="E48" s="21"/>
      <c r="F48" s="21"/>
      <c r="G48" s="21"/>
      <c r="H48" s="22"/>
      <c r="I48" s="22"/>
    </row>
    <row r="49" spans="1:9" ht="12.75" customHeight="1">
      <c r="A49" s="244" t="s">
        <v>51</v>
      </c>
      <c r="B49" s="244"/>
      <c r="C49" s="244"/>
      <c r="D49" s="244"/>
      <c r="E49" s="244"/>
      <c r="F49" s="244"/>
      <c r="G49" s="244"/>
      <c r="H49" s="244"/>
      <c r="I49" s="244"/>
    </row>
    <row r="50" spans="1:9" ht="48" customHeight="1">
      <c r="A50" s="19"/>
      <c r="B50" s="25"/>
      <c r="C50" s="25"/>
      <c r="D50" s="244" t="s">
        <v>52</v>
      </c>
      <c r="E50" s="244"/>
      <c r="F50" s="244" t="s">
        <v>53</v>
      </c>
      <c r="G50" s="244"/>
      <c r="H50" s="244" t="s">
        <v>54</v>
      </c>
      <c r="I50" s="244"/>
    </row>
    <row r="51" spans="1:9" ht="39" customHeight="1">
      <c r="A51" s="236" t="s">
        <v>57</v>
      </c>
      <c r="B51" s="236"/>
      <c r="C51" s="236"/>
      <c r="D51" s="258">
        <f>'Materiais de Reposição'!F140</f>
        <v>33829.036904280001</v>
      </c>
      <c r="E51" s="258"/>
      <c r="F51" s="257">
        <v>0</v>
      </c>
      <c r="G51" s="257"/>
      <c r="H51" s="259">
        <f>(D51*(1-F51))</f>
        <v>33829.036904280001</v>
      </c>
      <c r="I51" s="236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  <c r="B53" s="3"/>
      <c r="C53" s="3"/>
      <c r="D53" s="3"/>
      <c r="E53" s="3"/>
      <c r="F53" s="3"/>
      <c r="G53" s="3"/>
      <c r="H53" s="3"/>
      <c r="I53" s="3"/>
    </row>
    <row r="54" spans="1:9">
      <c r="A54" s="244" t="s">
        <v>509</v>
      </c>
      <c r="B54" s="244"/>
      <c r="C54" s="244"/>
      <c r="D54" s="244"/>
      <c r="E54" s="244"/>
      <c r="F54" s="244"/>
      <c r="G54" s="244"/>
      <c r="H54" s="244"/>
      <c r="I54" s="244"/>
    </row>
    <row r="55" spans="1:9" ht="48" customHeight="1">
      <c r="A55" s="238"/>
      <c r="B55" s="239"/>
      <c r="C55" s="240"/>
      <c r="D55" s="244" t="s">
        <v>58</v>
      </c>
      <c r="E55" s="244"/>
      <c r="F55" s="244" t="s">
        <v>53</v>
      </c>
      <c r="G55" s="244"/>
      <c r="H55" s="244" t="s">
        <v>54</v>
      </c>
      <c r="I55" s="244"/>
    </row>
    <row r="56" spans="1:9" ht="39" customHeight="1">
      <c r="A56" s="236" t="s">
        <v>55</v>
      </c>
      <c r="B56" s="236"/>
      <c r="C56" s="236"/>
      <c r="D56" s="258">
        <f>ROUNDDOWN((20835.06*(1+'Cálculo do BDI'!C26)),2)</f>
        <v>26843.89</v>
      </c>
      <c r="E56" s="258"/>
      <c r="F56" s="260">
        <f>F51</f>
        <v>0</v>
      </c>
      <c r="G56" s="261"/>
      <c r="H56" s="258">
        <f>D56*(1-F56)</f>
        <v>26843.89</v>
      </c>
      <c r="I56" s="258"/>
    </row>
    <row r="57" spans="1:9">
      <c r="A57" s="3"/>
      <c r="B57" s="3"/>
      <c r="C57" s="3"/>
      <c r="D57" s="3"/>
      <c r="E57" s="3"/>
      <c r="F57" s="3"/>
      <c r="G57" s="3"/>
      <c r="H57" s="3"/>
      <c r="I57" s="3"/>
    </row>
    <row r="58" spans="1:9" ht="15" customHeight="1">
      <c r="A58" s="232" t="s">
        <v>510</v>
      </c>
      <c r="B58" s="232"/>
      <c r="C58" s="232"/>
      <c r="D58" s="232"/>
      <c r="E58" s="232"/>
      <c r="F58" s="232"/>
      <c r="G58" s="232"/>
      <c r="H58" s="231">
        <f>SUM(H22,H34,H40,H47,H51,H56)</f>
        <v>60672.926904280001</v>
      </c>
      <c r="I58" s="232"/>
    </row>
    <row r="59" spans="1:9" ht="15.75">
      <c r="A59" s="5"/>
      <c r="B59" s="7"/>
      <c r="C59" s="6"/>
      <c r="D59" s="6"/>
      <c r="E59" s="6"/>
      <c r="F59" s="6"/>
      <c r="G59" s="8"/>
      <c r="H59" s="8"/>
      <c r="I59" s="9"/>
    </row>
    <row r="60" spans="1:9" ht="14.1" customHeight="1">
      <c r="A60" s="215" t="s">
        <v>56</v>
      </c>
      <c r="B60" s="215"/>
      <c r="C60" s="215"/>
      <c r="D60" s="215"/>
      <c r="E60" s="215"/>
      <c r="F60" s="215"/>
      <c r="G60" s="215"/>
      <c r="H60" s="215"/>
      <c r="I60" s="215"/>
    </row>
    <row r="61" spans="1:9" ht="15.75">
      <c r="A61" s="5"/>
      <c r="B61" s="6"/>
      <c r="C61" s="6"/>
      <c r="D61" s="6"/>
      <c r="E61" s="6"/>
      <c r="F61" s="6"/>
      <c r="G61" s="8"/>
      <c r="H61" s="8"/>
      <c r="I61" s="9"/>
    </row>
    <row r="62" spans="1:9" ht="39.950000000000003" customHeight="1">
      <c r="A62" s="256" t="s">
        <v>5</v>
      </c>
      <c r="B62" s="256"/>
      <c r="C62" s="256"/>
      <c r="D62" s="256"/>
      <c r="E62" s="256"/>
      <c r="F62" s="256"/>
      <c r="G62" s="256"/>
      <c r="H62" s="256"/>
      <c r="I62" s="256"/>
    </row>
    <row r="63" spans="1:9" ht="14.25">
      <c r="A63" s="10"/>
      <c r="B63" s="10"/>
      <c r="C63" s="10"/>
      <c r="D63" s="10"/>
      <c r="E63" s="10"/>
      <c r="F63" s="10"/>
      <c r="G63" s="11"/>
      <c r="H63" s="12"/>
      <c r="I63" s="11"/>
    </row>
    <row r="64" spans="1:9" ht="27.6" customHeight="1">
      <c r="A64" s="215" t="s">
        <v>6</v>
      </c>
      <c r="B64" s="215"/>
      <c r="C64" s="215"/>
      <c r="D64" s="215"/>
      <c r="E64" s="215"/>
      <c r="F64" s="215"/>
      <c r="G64" s="215"/>
      <c r="H64" s="215"/>
      <c r="I64" s="215"/>
    </row>
    <row r="65" spans="1:10" ht="14.25">
      <c r="A65" s="13"/>
      <c r="B65" s="13"/>
      <c r="C65" s="13"/>
      <c r="D65" s="13"/>
      <c r="E65" s="13"/>
      <c r="F65" s="13"/>
      <c r="G65" s="14"/>
      <c r="H65" s="14"/>
      <c r="I65" s="14"/>
    </row>
    <row r="66" spans="1:10" ht="14.1" customHeight="1">
      <c r="A66" s="215" t="s">
        <v>7</v>
      </c>
      <c r="B66" s="215"/>
      <c r="C66" s="215"/>
      <c r="D66" s="215"/>
      <c r="E66" s="215"/>
      <c r="F66" s="215"/>
      <c r="G66" s="215"/>
      <c r="H66" s="215"/>
      <c r="I66" s="215"/>
    </row>
    <row r="67" spans="1:10" ht="14.25">
      <c r="A67" s="13"/>
      <c r="B67" s="13"/>
      <c r="C67" s="13"/>
      <c r="D67" s="13"/>
      <c r="E67" s="13"/>
      <c r="F67" s="13"/>
      <c r="G67" s="14"/>
      <c r="H67" s="14"/>
      <c r="I67" s="14"/>
    </row>
    <row r="68" spans="1:10" ht="14.1" customHeight="1">
      <c r="A68" s="215" t="s">
        <v>8</v>
      </c>
      <c r="B68" s="215"/>
      <c r="C68" s="215"/>
      <c r="D68" s="215"/>
      <c r="E68" s="215"/>
      <c r="F68" s="215"/>
      <c r="G68" s="215"/>
      <c r="H68" s="215"/>
      <c r="I68" s="215"/>
    </row>
    <row r="69" spans="1:10" ht="14.25">
      <c r="A69" s="1"/>
      <c r="B69" s="15"/>
      <c r="C69" s="15"/>
      <c r="D69" s="15"/>
      <c r="E69" s="15"/>
      <c r="F69" s="15"/>
      <c r="G69" s="16"/>
      <c r="H69" s="16"/>
      <c r="I69" s="16"/>
    </row>
    <row r="70" spans="1:10" ht="27.6" customHeight="1">
      <c r="A70" s="256" t="s">
        <v>9</v>
      </c>
      <c r="B70" s="256"/>
      <c r="C70" s="256"/>
      <c r="D70" s="256"/>
      <c r="E70" s="256"/>
      <c r="F70" s="256"/>
      <c r="G70" s="256"/>
      <c r="H70" s="256"/>
      <c r="I70" s="256"/>
    </row>
    <row r="71" spans="1:10" ht="14.25">
      <c r="A71" s="1"/>
      <c r="B71" s="15"/>
      <c r="C71" s="15"/>
      <c r="D71" s="15"/>
      <c r="E71" s="15"/>
      <c r="F71" s="15"/>
      <c r="G71" s="16"/>
      <c r="H71" s="16"/>
      <c r="I71" s="16"/>
    </row>
    <row r="72" spans="1:10" ht="14.1" customHeight="1">
      <c r="A72" s="254" t="s">
        <v>10</v>
      </c>
      <c r="B72" s="254"/>
      <c r="C72" s="254"/>
      <c r="D72" s="254"/>
      <c r="E72" s="254"/>
      <c r="F72" s="254"/>
      <c r="G72" s="254"/>
      <c r="H72" s="254"/>
      <c r="I72" s="254"/>
      <c r="J72" s="17"/>
    </row>
    <row r="73" spans="1:10" ht="14.1" customHeight="1">
      <c r="A73" s="254" t="s">
        <v>11</v>
      </c>
      <c r="B73" s="254"/>
      <c r="C73" s="254"/>
      <c r="D73" s="254"/>
      <c r="E73" s="254"/>
      <c r="F73" s="254"/>
      <c r="G73" s="254"/>
      <c r="H73" s="254"/>
      <c r="I73" s="254"/>
      <c r="J73" s="17"/>
    </row>
    <row r="74" spans="1:10" ht="14.1" customHeight="1">
      <c r="A74" s="254" t="s">
        <v>12</v>
      </c>
      <c r="B74" s="254"/>
      <c r="C74" s="254"/>
      <c r="D74" s="254"/>
      <c r="E74" s="254"/>
      <c r="F74" s="254"/>
      <c r="G74" s="254"/>
      <c r="H74" s="254"/>
      <c r="I74" s="254"/>
      <c r="J74" s="17"/>
    </row>
    <row r="75" spans="1:10" ht="14.1" customHeight="1">
      <c r="A75" s="254" t="s">
        <v>13</v>
      </c>
      <c r="B75" s="254"/>
      <c r="C75" s="254"/>
      <c r="D75" s="254"/>
      <c r="E75" s="254"/>
      <c r="F75" s="254"/>
      <c r="G75" s="254"/>
      <c r="H75" s="254"/>
      <c r="I75" s="254"/>
      <c r="J75" s="17"/>
    </row>
    <row r="76" spans="1:10" ht="14.25">
      <c r="A76" s="18" t="s">
        <v>14</v>
      </c>
      <c r="B76" s="18"/>
      <c r="C76" s="18" t="s">
        <v>15</v>
      </c>
      <c r="D76" s="18"/>
      <c r="E76" s="18"/>
      <c r="F76" s="18"/>
    </row>
  </sheetData>
  <sheetProtection sheet="1" objects="1" scenarios="1"/>
  <protectedRanges>
    <protectedRange sqref="A59:I76" name="Intervalo3"/>
    <protectedRange sqref="F51 G44:G46 G38:G39 G25:G33" name="Intervalo1"/>
    <protectedRange sqref="A8:I8" name="Intervalo2"/>
  </protectedRanges>
  <mergeCells count="99">
    <mergeCell ref="D55:E55"/>
    <mergeCell ref="F55:G55"/>
    <mergeCell ref="H55:I55"/>
    <mergeCell ref="D56:E56"/>
    <mergeCell ref="F56:G56"/>
    <mergeCell ref="H56:I56"/>
    <mergeCell ref="F51:G51"/>
    <mergeCell ref="D51:E51"/>
    <mergeCell ref="A55:C55"/>
    <mergeCell ref="A38:D38"/>
    <mergeCell ref="H38:I38"/>
    <mergeCell ref="A39:D39"/>
    <mergeCell ref="H39:I39"/>
    <mergeCell ref="H43:I43"/>
    <mergeCell ref="A51:C51"/>
    <mergeCell ref="D50:E50"/>
    <mergeCell ref="F50:G50"/>
    <mergeCell ref="H50:I50"/>
    <mergeCell ref="H51:I51"/>
    <mergeCell ref="H47:I47"/>
    <mergeCell ref="E45:F45"/>
    <mergeCell ref="A47:G47"/>
    <mergeCell ref="A75:I75"/>
    <mergeCell ref="A18:D18"/>
    <mergeCell ref="A64:I64"/>
    <mergeCell ref="A66:I66"/>
    <mergeCell ref="A68:I68"/>
    <mergeCell ref="A70:I70"/>
    <mergeCell ref="A72:I72"/>
    <mergeCell ref="H28:I28"/>
    <mergeCell ref="H29:I29"/>
    <mergeCell ref="H30:I30"/>
    <mergeCell ref="A73:I73"/>
    <mergeCell ref="A74:I74"/>
    <mergeCell ref="A60:I60"/>
    <mergeCell ref="A62:I62"/>
    <mergeCell ref="A54:I54"/>
    <mergeCell ref="A56:C56"/>
    <mergeCell ref="E37:F37"/>
    <mergeCell ref="E38:F38"/>
    <mergeCell ref="E39:F39"/>
    <mergeCell ref="A44:D44"/>
    <mergeCell ref="H44:I44"/>
    <mergeCell ref="A42:I42"/>
    <mergeCell ref="E43:F43"/>
    <mergeCell ref="E44:F44"/>
    <mergeCell ref="A43:D43"/>
    <mergeCell ref="A40:G40"/>
    <mergeCell ref="H40:I40"/>
    <mergeCell ref="H31:I31"/>
    <mergeCell ref="H32:I32"/>
    <mergeCell ref="H33:I33"/>
    <mergeCell ref="H34:I34"/>
    <mergeCell ref="A36:I36"/>
    <mergeCell ref="A34:G34"/>
    <mergeCell ref="A29:D29"/>
    <mergeCell ref="A30:D30"/>
    <mergeCell ref="A31:D31"/>
    <mergeCell ref="A32:D32"/>
    <mergeCell ref="A33:D33"/>
    <mergeCell ref="H45:I45"/>
    <mergeCell ref="A49:I49"/>
    <mergeCell ref="E46:F46"/>
    <mergeCell ref="H46:I46"/>
    <mergeCell ref="A45:D45"/>
    <mergeCell ref="H26:I26"/>
    <mergeCell ref="H27:I27"/>
    <mergeCell ref="A22:G22"/>
    <mergeCell ref="H58:I58"/>
    <mergeCell ref="A58:G58"/>
    <mergeCell ref="H22:I22"/>
    <mergeCell ref="A24:D24"/>
    <mergeCell ref="A25:D25"/>
    <mergeCell ref="H24:I24"/>
    <mergeCell ref="H25:I25"/>
    <mergeCell ref="A26:D26"/>
    <mergeCell ref="A27:D27"/>
    <mergeCell ref="A28:D28"/>
    <mergeCell ref="A37:D37"/>
    <mergeCell ref="H37:I37"/>
    <mergeCell ref="A46:D46"/>
    <mergeCell ref="A2:I2"/>
    <mergeCell ref="A4:I4"/>
    <mergeCell ref="A6:I6"/>
    <mergeCell ref="A8:I8"/>
    <mergeCell ref="B10:E10"/>
    <mergeCell ref="A19:D19"/>
    <mergeCell ref="A20:D20"/>
    <mergeCell ref="A21:D21"/>
    <mergeCell ref="H18:I18"/>
    <mergeCell ref="H19:I19"/>
    <mergeCell ref="H20:I20"/>
    <mergeCell ref="H21:I21"/>
    <mergeCell ref="B16:I16"/>
    <mergeCell ref="B11:C11"/>
    <mergeCell ref="D11:E11"/>
    <mergeCell ref="B12:C12"/>
    <mergeCell ref="D12:E12"/>
    <mergeCell ref="A14:I14"/>
  </mergeCells>
  <printOptions horizontalCentered="1"/>
  <pageMargins left="0.78749999999999998" right="0.78749999999999998" top="1.2972222222222201" bottom="0.94583333333333297" header="0.78749999999999998" footer="0.78749999999999998"/>
  <pageSetup paperSize="9" scale="67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  <rowBreaks count="1" manualBreakCount="1">
    <brk id="4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3C2EC-F112-48D7-A40B-A29110C4E041}">
  <sheetPr>
    <pageSetUpPr fitToPage="1"/>
  </sheetPr>
  <dimension ref="A1:Z881"/>
  <sheetViews>
    <sheetView showGridLines="0" zoomScaleNormal="100" workbookViewId="0">
      <selection activeCell="C48" sqref="C48:D48"/>
    </sheetView>
  </sheetViews>
  <sheetFormatPr defaultColWidth="14.42578125" defaultRowHeight="14.25"/>
  <cols>
    <col min="1" max="1" width="3" style="26" customWidth="1"/>
    <col min="2" max="2" width="89.140625" style="26" customWidth="1"/>
    <col min="3" max="3" width="20.7109375" style="26" customWidth="1"/>
    <col min="4" max="4" width="21.28515625" style="26" customWidth="1"/>
    <col min="5" max="5" width="18" style="26" customWidth="1"/>
    <col min="6" max="6" width="19.5703125" style="26" customWidth="1"/>
    <col min="7" max="7" width="17.5703125" style="26" customWidth="1"/>
    <col min="8" max="8" width="8.7109375" style="26" customWidth="1"/>
    <col min="9" max="9" width="14.7109375" style="26" customWidth="1"/>
    <col min="10" max="26" width="8.7109375" style="26" customWidth="1"/>
    <col min="27" max="16384" width="14.42578125" style="26"/>
  </cols>
  <sheetData>
    <row r="1" spans="1:26" ht="15">
      <c r="A1" s="263"/>
      <c r="B1" s="263"/>
      <c r="C1" s="263"/>
      <c r="D1" s="263"/>
      <c r="E1" s="28"/>
      <c r="F1" s="28"/>
      <c r="G1" s="29"/>
      <c r="H1" s="29"/>
      <c r="I1" s="28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15">
      <c r="A2" s="263"/>
      <c r="B2" s="263"/>
      <c r="C2" s="263"/>
      <c r="D2" s="263"/>
      <c r="E2" s="28"/>
      <c r="F2" s="28"/>
      <c r="G2" s="29"/>
      <c r="H2" s="29"/>
      <c r="I2" s="28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">
      <c r="A3" s="263"/>
      <c r="B3" s="263"/>
      <c r="C3" s="263"/>
      <c r="D3" s="263"/>
      <c r="E3" s="28"/>
      <c r="F3" s="28"/>
      <c r="G3" s="29"/>
      <c r="H3" s="29"/>
      <c r="I3" s="28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">
      <c r="A4" s="263"/>
      <c r="B4" s="263"/>
      <c r="C4" s="263"/>
      <c r="D4" s="263"/>
      <c r="E4" s="28"/>
      <c r="F4" s="28"/>
      <c r="G4" s="29"/>
      <c r="H4" s="29"/>
      <c r="I4" s="28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15">
      <c r="A5" s="263"/>
      <c r="B5" s="263"/>
      <c r="C5" s="263"/>
      <c r="D5" s="263"/>
      <c r="E5" s="28"/>
      <c r="F5" s="28"/>
      <c r="G5" s="29"/>
      <c r="H5" s="29"/>
      <c r="I5" s="28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15.75">
      <c r="A6" s="264" t="s">
        <v>59</v>
      </c>
      <c r="B6" s="264"/>
      <c r="C6" s="264"/>
      <c r="D6" s="264"/>
      <c r="E6" s="28"/>
      <c r="F6" s="28"/>
      <c r="G6" s="29"/>
      <c r="H6" s="29"/>
      <c r="I6" s="27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15.75">
      <c r="A7" s="264" t="s">
        <v>75</v>
      </c>
      <c r="B7" s="264"/>
      <c r="C7" s="264"/>
      <c r="D7" s="264"/>
      <c r="E7" s="28"/>
      <c r="F7" s="28"/>
      <c r="G7" s="29"/>
      <c r="H7" s="29"/>
      <c r="I7" s="27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15.75">
      <c r="A8" s="40"/>
      <c r="B8" s="40"/>
      <c r="C8" s="40"/>
      <c r="D8" s="40"/>
      <c r="E8" s="28"/>
      <c r="F8" s="28"/>
      <c r="G8" s="29"/>
      <c r="H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15.75">
      <c r="A9" s="264" t="s">
        <v>76</v>
      </c>
      <c r="B9" s="264"/>
      <c r="C9" s="264"/>
      <c r="D9" s="264"/>
      <c r="E9" s="28"/>
      <c r="F9" s="28"/>
      <c r="G9" s="29"/>
      <c r="H9" s="29"/>
      <c r="I9" s="27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5">
      <c r="A10" s="202"/>
      <c r="B10" s="202"/>
      <c r="C10" s="202"/>
      <c r="D10" s="202"/>
      <c r="E10" s="28"/>
      <c r="F10" s="28"/>
      <c r="G10" s="29"/>
      <c r="H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15">
      <c r="A11" s="41"/>
      <c r="B11" s="41"/>
      <c r="C11" s="41"/>
      <c r="E11" s="28"/>
      <c r="F11" s="28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8">
      <c r="A12" s="265" t="s">
        <v>259</v>
      </c>
      <c r="B12" s="265"/>
      <c r="C12" s="265"/>
      <c r="D12" s="265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5">
      <c r="A13" s="42"/>
      <c r="B13" s="42"/>
      <c r="C13" s="42"/>
      <c r="D13" s="42"/>
      <c r="E13" s="28"/>
      <c r="F13" s="28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1"/>
      <c r="Z13" s="31"/>
    </row>
    <row r="14" spans="1:26" ht="23.85" customHeight="1">
      <c r="A14" s="262" t="s">
        <v>77</v>
      </c>
      <c r="B14" s="262"/>
      <c r="C14" s="262"/>
      <c r="D14" s="262"/>
      <c r="E14" s="28"/>
      <c r="F14" s="28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29"/>
      <c r="Z14" s="29"/>
    </row>
    <row r="15" spans="1:26" ht="15">
      <c r="A15" s="43"/>
      <c r="B15" s="43"/>
      <c r="C15" s="43"/>
      <c r="D15" s="43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ht="15">
      <c r="A16" s="266" t="s">
        <v>254</v>
      </c>
      <c r="B16" s="266"/>
      <c r="C16" s="266"/>
      <c r="D16" s="266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15">
      <c r="A17" s="41"/>
      <c r="B17" s="41"/>
      <c r="C17" s="41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15">
      <c r="A18" s="267" t="s">
        <v>60</v>
      </c>
      <c r="B18" s="267"/>
      <c r="C18" s="267"/>
      <c r="D18" s="267"/>
      <c r="F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customHeight="1">
      <c r="A19" s="268" t="s">
        <v>62</v>
      </c>
      <c r="B19" s="268"/>
      <c r="C19" s="269" t="s">
        <v>63</v>
      </c>
      <c r="D19" s="269"/>
      <c r="F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5.75" customHeight="1">
      <c r="A20" s="270" t="s">
        <v>64</v>
      </c>
      <c r="B20" s="270"/>
      <c r="C20" s="271">
        <v>2.8899999999999999E-2</v>
      </c>
      <c r="D20" s="271"/>
      <c r="F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customHeight="1">
      <c r="A21" s="270" t="s">
        <v>65</v>
      </c>
      <c r="B21" s="270"/>
      <c r="C21" s="271">
        <v>7.4999999999999997E-3</v>
      </c>
      <c r="D21" s="271"/>
      <c r="F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5.75" customHeight="1">
      <c r="A22" s="270" t="s">
        <v>66</v>
      </c>
      <c r="B22" s="270"/>
      <c r="C22" s="271">
        <v>9.1999999999999998E-3</v>
      </c>
      <c r="D22" s="271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5.75" customHeight="1">
      <c r="A23" s="270" t="s">
        <v>67</v>
      </c>
      <c r="B23" s="270"/>
      <c r="C23" s="271">
        <v>5.8999999999999999E-3</v>
      </c>
      <c r="D23" s="271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5.75" customHeight="1">
      <c r="A24" s="270" t="s">
        <v>68</v>
      </c>
      <c r="B24" s="270"/>
      <c r="C24" s="271">
        <v>5.0500000000000003E-2</v>
      </c>
      <c r="D24" s="271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5.75" customHeight="1">
      <c r="A25" s="270" t="s">
        <v>69</v>
      </c>
      <c r="B25" s="270"/>
      <c r="C25" s="271">
        <v>0.14249999999999999</v>
      </c>
      <c r="D25" s="271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42" customHeight="1">
      <c r="A26" s="272" t="s">
        <v>256</v>
      </c>
      <c r="B26" s="272"/>
      <c r="C26" s="273">
        <f>ROUNDDOWN((((1+(C20+C21+C22))*(1+C23)*(1+C24))/(1-C25))-1,4)</f>
        <v>0.28839999999999999</v>
      </c>
      <c r="D26" s="274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customHeight="1">
      <c r="A27" s="275"/>
      <c r="B27" s="275"/>
      <c r="C27" s="276" t="s">
        <v>61</v>
      </c>
      <c r="D27" s="277" t="s">
        <v>255</v>
      </c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28.5" customHeight="1">
      <c r="A28" s="275"/>
      <c r="B28" s="275"/>
      <c r="C28" s="276"/>
      <c r="D28" s="277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customHeight="1">
      <c r="A29" s="278"/>
      <c r="B29" s="278"/>
      <c r="C29" s="278"/>
      <c r="D29" s="35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customHeight="1">
      <c r="A30" s="279" t="s">
        <v>70</v>
      </c>
      <c r="B30" s="279"/>
      <c r="C30" s="34" t="s">
        <v>63</v>
      </c>
      <c r="D30" s="34" t="s">
        <v>63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customHeight="1">
      <c r="A31" s="279" t="s">
        <v>16</v>
      </c>
      <c r="B31" s="279"/>
      <c r="C31" s="271">
        <v>1.6500000000000001E-2</v>
      </c>
      <c r="D31" s="271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customHeight="1">
      <c r="A32" s="279" t="s">
        <v>71</v>
      </c>
      <c r="B32" s="279"/>
      <c r="C32" s="271">
        <v>7.5999999999999998E-2</v>
      </c>
      <c r="D32" s="271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5.75" customHeight="1">
      <c r="A33" s="279" t="s">
        <v>257</v>
      </c>
      <c r="B33" s="279"/>
      <c r="C33" s="36">
        <v>4.4999999999999998E-2</v>
      </c>
      <c r="D33" s="36">
        <v>0</v>
      </c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5" customHeight="1">
      <c r="A34" s="279" t="s">
        <v>258</v>
      </c>
      <c r="B34" s="279"/>
      <c r="C34" s="271">
        <v>0.05</v>
      </c>
      <c r="D34" s="271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5.75" customHeight="1">
      <c r="A35" s="272" t="s">
        <v>72</v>
      </c>
      <c r="B35" s="272"/>
      <c r="C35" s="37">
        <f>SUM(C31:C34)</f>
        <v>0.1875</v>
      </c>
      <c r="D35" s="37">
        <f>SUM(C31,C32,D33,C34)</f>
        <v>0.14250000000000002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5.75" customHeight="1">
      <c r="A36" s="280" t="s">
        <v>73</v>
      </c>
      <c r="B36" s="281"/>
      <c r="C36" s="281"/>
      <c r="D36" s="282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33" customHeight="1">
      <c r="A37" s="283" t="s">
        <v>74</v>
      </c>
      <c r="B37" s="283"/>
      <c r="C37" s="283"/>
      <c r="D37" s="283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28.5" customHeight="1">
      <c r="A38" s="33"/>
      <c r="B38" s="33"/>
      <c r="C38" s="33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15.7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5.75" customHeight="1">
      <c r="A40" s="266" t="s">
        <v>503</v>
      </c>
      <c r="B40" s="266"/>
      <c r="C40" s="266"/>
      <c r="D40" s="266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15.75" customHeight="1">
      <c r="A41" s="41"/>
      <c r="B41" s="41"/>
      <c r="C41" s="41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15.75" customHeight="1">
      <c r="A42" s="267" t="s">
        <v>60</v>
      </c>
      <c r="B42" s="267"/>
      <c r="C42" s="267"/>
      <c r="D42" s="267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spans="1:26" ht="15.75" customHeight="1">
      <c r="A43" s="268" t="s">
        <v>62</v>
      </c>
      <c r="B43" s="268"/>
      <c r="C43" s="269" t="s">
        <v>63</v>
      </c>
      <c r="D43" s="26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ht="15.75" customHeight="1">
      <c r="A44" s="270" t="s">
        <v>64</v>
      </c>
      <c r="B44" s="270"/>
      <c r="C44" s="271">
        <v>1.4999999999999999E-2</v>
      </c>
      <c r="D44" s="271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ht="15.75" customHeight="1">
      <c r="A45" s="270" t="s">
        <v>65</v>
      </c>
      <c r="B45" s="270"/>
      <c r="C45" s="271">
        <v>3.0000000000000001E-3</v>
      </c>
      <c r="D45" s="271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15.75" customHeight="1">
      <c r="A46" s="270" t="s">
        <v>66</v>
      </c>
      <c r="B46" s="270"/>
      <c r="C46" s="271">
        <v>5.5999999999999999E-3</v>
      </c>
      <c r="D46" s="271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ht="15.75" customHeight="1">
      <c r="A47" s="270" t="s">
        <v>67</v>
      </c>
      <c r="B47" s="270"/>
      <c r="C47" s="271">
        <v>8.5000000000000006E-3</v>
      </c>
      <c r="D47" s="271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ht="15.75" customHeight="1">
      <c r="A48" s="270" t="s">
        <v>68</v>
      </c>
      <c r="B48" s="270"/>
      <c r="C48" s="271">
        <v>3.5000000000000003E-2</v>
      </c>
      <c r="D48" s="271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5.75" customHeight="1">
      <c r="A49" s="270" t="s">
        <v>69</v>
      </c>
      <c r="B49" s="270"/>
      <c r="C49" s="271">
        <v>9.2499999999999999E-2</v>
      </c>
      <c r="D49" s="271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15.75" customHeight="1">
      <c r="A50" s="272" t="s">
        <v>256</v>
      </c>
      <c r="B50" s="272"/>
      <c r="C50" s="273">
        <f>ROUNDDOWN((((1+(C44+C45+C46))*(1+C47)*(1+C48))/(1-C49))-1,4)</f>
        <v>0.17730000000000001</v>
      </c>
      <c r="D50" s="274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15.75" customHeight="1">
      <c r="A51" s="275"/>
      <c r="B51" s="275"/>
      <c r="C51" s="276" t="s">
        <v>61</v>
      </c>
      <c r="D51" s="277" t="s">
        <v>255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ht="15.75" customHeight="1">
      <c r="A52" s="275"/>
      <c r="B52" s="275"/>
      <c r="C52" s="276"/>
      <c r="D52" s="27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ht="15.75" customHeight="1">
      <c r="A53" s="278"/>
      <c r="B53" s="278"/>
      <c r="C53" s="278"/>
      <c r="D53" s="35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ht="15.75" customHeight="1">
      <c r="A54" s="279" t="s">
        <v>70</v>
      </c>
      <c r="B54" s="279"/>
      <c r="C54" s="34" t="s">
        <v>63</v>
      </c>
      <c r="D54" s="34" t="s">
        <v>63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ht="15.75" customHeight="1">
      <c r="A55" s="279" t="s">
        <v>16</v>
      </c>
      <c r="B55" s="279"/>
      <c r="C55" s="271">
        <v>1.6500000000000001E-2</v>
      </c>
      <c r="D55" s="271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6" ht="15.75" customHeight="1">
      <c r="A56" s="279" t="s">
        <v>71</v>
      </c>
      <c r="B56" s="279"/>
      <c r="C56" s="271">
        <v>7.5999999999999998E-2</v>
      </c>
      <c r="D56" s="271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6" ht="15.75" customHeight="1">
      <c r="A57" s="279" t="s">
        <v>257</v>
      </c>
      <c r="B57" s="279"/>
      <c r="C57" s="36">
        <v>4.4999999999999998E-2</v>
      </c>
      <c r="D57" s="36">
        <v>0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15.75" customHeight="1">
      <c r="A58" s="272" t="s">
        <v>72</v>
      </c>
      <c r="B58" s="272"/>
      <c r="C58" s="37">
        <f>SUM(C55:C57)</f>
        <v>0.13750000000000001</v>
      </c>
      <c r="D58" s="37">
        <f>SUM(C55,C56,D57)</f>
        <v>9.2499999999999999E-2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ht="15.75" customHeight="1">
      <c r="A59" s="280" t="s">
        <v>73</v>
      </c>
      <c r="B59" s="281"/>
      <c r="C59" s="281"/>
      <c r="D59" s="282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ht="15.75" customHeight="1">
      <c r="A60" s="283" t="s">
        <v>74</v>
      </c>
      <c r="B60" s="283"/>
      <c r="C60" s="283"/>
      <c r="D60" s="283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15.75" customHeight="1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15.75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ht="15.75" customHeigh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ht="15.75" customHeight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ht="15.75" customHeight="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ht="15.75" customHeight="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15.75" customHeight="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15.75" customHeight="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ht="15.75" customHeight="1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ht="15.75" customHeight="1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ht="15.75" customHeight="1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15.75" customHeight="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15.75" customHeight="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spans="1:26" ht="15.75" customHeight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15.75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ht="15.75" customHeight="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15.75" customHeight="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15.75" customHeight="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5.75" customHeight="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15.75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15.75" customHeight="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15.75" customHeight="1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15.75" customHeight="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15.75" customHeight="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15.75" customHeight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15.75" customHeight="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5.75" customHeigh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5.75" customHeigh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5.75" customHeight="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5.75" customHeigh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5.75" customHeight="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15.75" customHeight="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15.75" customHeight="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5.75" customHeight="1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15.75" customHeight="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15.75" customHeight="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15.75" customHeight="1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ht="15.75" customHeight="1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15.75" customHeight="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15.75" customHeight="1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15.75" customHeight="1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ht="15.75" customHeight="1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15.75" customHeight="1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ht="15.75" customHeight="1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15.75" customHeight="1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ht="15.75" customHeight="1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5.75" customHeight="1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15.75" customHeight="1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15.75" customHeight="1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5.75" customHeight="1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5.75" customHeight="1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5.75" customHeight="1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5.75" customHeight="1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15.75" customHeight="1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5.75" customHeight="1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15.75" customHeight="1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15.75" customHeight="1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15.75" customHeight="1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5.75" customHeight="1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ht="15.75" customHeight="1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15.75" customHeight="1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ht="15.75" customHeight="1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ht="15.75" customHeight="1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ht="15.75" customHeight="1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ht="15.75" customHeight="1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ht="15.75" customHeight="1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15.75" customHeight="1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ht="15.75" customHeight="1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15.75" customHeight="1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ht="15.75" customHeight="1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15.75" customHeight="1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ht="15.75" customHeight="1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15.75" customHeight="1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ht="15.75" customHeight="1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15.75" customHeight="1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ht="15.75" customHeight="1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15.75" customHeight="1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15.75" customHeight="1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15.75" customHeight="1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15.75" customHeight="1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15.75" customHeight="1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15.75" customHeight="1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15.75" customHeight="1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15.75" customHeight="1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15.75" customHeight="1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15.75" customHeight="1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15.75" customHeight="1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15.75" customHeight="1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15.75" customHeight="1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ht="15.75" customHeight="1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15.75" customHeight="1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spans="1:26" ht="15.75" customHeight="1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15.75" customHeight="1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ht="15.75" customHeight="1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15.75" customHeight="1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spans="1:26" ht="15.75" customHeight="1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15.75" customHeight="1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ht="15.75" customHeight="1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15.75" customHeight="1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spans="1:26" ht="15.75" customHeight="1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15.75" customHeight="1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ht="15.75" customHeight="1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ht="15.75" customHeight="1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spans="1:26" ht="15.75" customHeight="1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15.75" customHeight="1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15.75" customHeight="1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15.75" customHeight="1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spans="1:26" ht="15.75" customHeight="1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15.75" customHeight="1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ht="15.75" customHeight="1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ht="15.75" customHeight="1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spans="1:26" ht="15.75" customHeight="1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ht="15.75" customHeight="1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ht="15.75" customHeight="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15.75" customHeight="1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spans="1:26" ht="15.75" customHeight="1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15.75" customHeight="1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ht="15.75" customHeight="1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15.75" customHeight="1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spans="1:26" ht="15.75" customHeight="1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spans="1:26" ht="15.75" customHeight="1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15.75" customHeight="1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15.75" customHeight="1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15.75" customHeight="1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spans="1:26" ht="15.75" customHeight="1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spans="1:26" ht="15.75" customHeight="1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spans="1:26" ht="15.75" customHeight="1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spans="1:26" ht="15.75" customHeight="1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ht="15.75" customHeight="1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spans="1:26" ht="15.75" customHeight="1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spans="1:26" ht="15.75" customHeight="1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spans="1:26" ht="15.75" customHeight="1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spans="1:26" ht="15.75" customHeight="1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spans="1:26" ht="15.75" customHeight="1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spans="1:26" ht="15.75" customHeight="1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spans="1:26" ht="15.75" customHeight="1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</row>
    <row r="197" spans="1:26" ht="15.75" customHeight="1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</row>
    <row r="198" spans="1:26" ht="15.75" customHeight="1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spans="1:26" ht="15.75" customHeight="1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spans="1:26" ht="15.75" customHeight="1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spans="1:26" ht="15.75" customHeight="1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spans="1:26" ht="15.75" customHeight="1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spans="1:26" ht="15.75" customHeight="1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spans="1:26" ht="15.75" customHeight="1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spans="1:26" ht="15.75" customHeight="1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spans="1:26" ht="15.75" customHeight="1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spans="1:26" ht="15.75" customHeight="1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spans="1:26" ht="15.75" customHeight="1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spans="1:26" ht="15.75" customHeight="1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spans="1:26" ht="15.75" customHeight="1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spans="1:26" ht="15.75" customHeight="1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spans="1:26" ht="15.75" customHeight="1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spans="1:26" ht="15.75" customHeight="1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spans="1:26" ht="15.75" customHeight="1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spans="1:26" ht="15.75" customHeight="1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spans="1:26" ht="15.75" customHeight="1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spans="1:26" ht="15.75" customHeight="1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spans="1:26" ht="15.75" customHeight="1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spans="1:26" ht="15.75" customHeight="1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spans="1:26" ht="15.75" customHeight="1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spans="1:26" ht="15.75" customHeight="1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spans="1:26" ht="15.75" customHeight="1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spans="1:26" ht="15.75" customHeight="1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spans="1:26" ht="15.75" customHeight="1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spans="1:26" ht="15.75" customHeight="1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spans="1:26" ht="15.75" customHeight="1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spans="1:26" ht="15.75" customHeight="1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spans="1:26" ht="15.75" customHeight="1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spans="1:26" ht="15.75" customHeight="1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</row>
    <row r="230" spans="1:26" ht="15.75" customHeight="1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</row>
    <row r="231" spans="1:26" ht="15.75" customHeight="1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</row>
    <row r="232" spans="1:26" ht="15.75" customHeight="1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</row>
    <row r="233" spans="1:26" ht="15.75" customHeight="1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</row>
    <row r="234" spans="1:26" ht="15.75" customHeight="1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</row>
    <row r="235" spans="1:26" ht="15.75" customHeight="1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</row>
    <row r="236" spans="1:26" ht="15.75" customHeight="1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</row>
    <row r="237" spans="1:26" ht="15.75" customHeight="1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</row>
    <row r="238" spans="1:26" ht="15.75" customHeight="1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</row>
    <row r="239" spans="1:26" ht="15.75" customHeight="1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</row>
    <row r="240" spans="1:26" ht="15.75" customHeight="1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</row>
    <row r="241" spans="1:26" ht="15.75" customHeight="1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</row>
    <row r="242" spans="1:26" ht="15.75" customHeight="1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</row>
    <row r="243" spans="1:26" ht="15.75" customHeight="1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</row>
    <row r="244" spans="1:26" ht="15.75" customHeight="1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</row>
    <row r="245" spans="1:26" ht="15.75" customHeight="1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</row>
    <row r="246" spans="1:26" ht="15.75" customHeight="1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</row>
    <row r="247" spans="1:26" ht="15.75" customHeight="1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</row>
    <row r="248" spans="1:26" ht="15.75" customHeight="1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</row>
    <row r="249" spans="1:26" ht="15.75" customHeight="1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</row>
    <row r="250" spans="1:26" ht="15.75" customHeight="1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</row>
    <row r="251" spans="1:26" ht="15.75" customHeight="1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</row>
    <row r="252" spans="1:26" ht="15.75" customHeight="1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</row>
    <row r="253" spans="1:26" ht="15.75" customHeight="1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</row>
    <row r="254" spans="1:26" ht="15.75" customHeight="1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</row>
    <row r="255" spans="1:26" ht="15.75" customHeight="1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</row>
    <row r="256" spans="1:26" ht="15.75" customHeight="1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</row>
    <row r="257" spans="1:26" ht="15.75" customHeight="1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</row>
    <row r="258" spans="1:26" ht="15.75" customHeight="1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</row>
    <row r="259" spans="1:26" ht="15.75" customHeight="1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</row>
    <row r="260" spans="1:26" ht="15.75" customHeight="1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</row>
    <row r="261" spans="1:26" ht="15.75" customHeight="1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</row>
    <row r="262" spans="1:26" ht="15.75" customHeight="1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</row>
    <row r="263" spans="1:26" ht="15.75" customHeight="1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</row>
    <row r="264" spans="1:26" ht="15.75" customHeight="1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</row>
    <row r="265" spans="1:26" ht="15.75" customHeight="1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</row>
    <row r="266" spans="1:26" ht="15.75" customHeight="1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</row>
    <row r="267" spans="1:26" ht="15.75" customHeight="1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</row>
    <row r="268" spans="1:26" ht="15.75" customHeight="1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</row>
    <row r="269" spans="1:26" ht="15.75" customHeight="1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</row>
    <row r="270" spans="1:26" ht="15.75" customHeight="1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</row>
    <row r="271" spans="1:26" ht="15.75" customHeight="1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</row>
    <row r="272" spans="1:26" ht="15.75" customHeight="1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</row>
    <row r="273" spans="1:26" ht="15.75" customHeight="1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</row>
    <row r="274" spans="1:26" ht="15.75" customHeight="1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</row>
    <row r="275" spans="1:26" ht="15.75" customHeight="1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</row>
    <row r="276" spans="1:26" ht="15.75" customHeight="1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</row>
    <row r="277" spans="1:26" ht="15.75" customHeight="1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</row>
    <row r="278" spans="1:26" ht="15.75" customHeight="1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</row>
    <row r="279" spans="1:26" ht="15.75" customHeight="1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</row>
    <row r="280" spans="1:26" ht="15.75" customHeight="1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</row>
    <row r="281" spans="1:26" ht="15.75" customHeight="1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</row>
    <row r="282" spans="1:26" ht="15.75" customHeight="1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</row>
    <row r="283" spans="1:26" ht="15.75" customHeight="1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</row>
    <row r="284" spans="1:26" ht="15.75" customHeight="1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</row>
    <row r="285" spans="1:26" ht="15.75" customHeight="1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</row>
    <row r="286" spans="1:26" ht="15.75" customHeight="1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</row>
    <row r="287" spans="1:26" ht="15.75" customHeight="1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</row>
    <row r="288" spans="1:26" ht="15.75" customHeight="1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</row>
    <row r="289" spans="1:26" ht="15.75" customHeight="1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</row>
    <row r="290" spans="1:26" ht="15.75" customHeight="1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</row>
    <row r="291" spans="1:26" ht="15.75" customHeight="1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</row>
    <row r="292" spans="1:26" ht="15.75" customHeight="1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</row>
    <row r="293" spans="1:26" ht="15.75" customHeight="1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</row>
    <row r="294" spans="1:26" ht="15.75" customHeight="1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</row>
    <row r="295" spans="1:26" ht="15.75" customHeight="1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</row>
    <row r="296" spans="1:26" ht="15.75" customHeight="1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</row>
    <row r="297" spans="1:26" ht="15.75" customHeight="1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</row>
    <row r="298" spans="1:26" ht="15.75" customHeight="1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</row>
    <row r="299" spans="1:26" ht="15.75" customHeight="1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</row>
    <row r="300" spans="1:26" ht="15.75" customHeight="1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</row>
    <row r="301" spans="1:26" ht="15.75" customHeight="1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</row>
    <row r="302" spans="1:26" ht="15.75" customHeight="1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</row>
    <row r="303" spans="1:26" ht="15.75" customHeight="1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</row>
    <row r="304" spans="1:26" ht="15.75" customHeight="1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</row>
    <row r="305" spans="1:26" ht="15.75" customHeight="1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</row>
    <row r="306" spans="1:26" ht="15.75" customHeight="1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</row>
    <row r="307" spans="1:26" ht="15.75" customHeight="1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</row>
    <row r="308" spans="1:26" ht="15.75" customHeight="1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</row>
    <row r="309" spans="1:26" ht="15.75" customHeight="1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</row>
    <row r="310" spans="1:26" ht="15.75" customHeight="1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</row>
    <row r="311" spans="1:26" ht="15.75" customHeight="1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</row>
    <row r="312" spans="1:26" ht="15.75" customHeight="1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</row>
    <row r="313" spans="1:26" ht="15.75" customHeight="1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</row>
    <row r="314" spans="1:26" ht="15.75" customHeight="1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</row>
    <row r="315" spans="1:26" ht="15.75" customHeight="1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</row>
    <row r="316" spans="1:26" ht="15.75" customHeight="1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</row>
    <row r="317" spans="1:26" ht="15.75" customHeight="1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</row>
    <row r="318" spans="1:26" ht="15.75" customHeight="1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</row>
    <row r="319" spans="1:26" ht="15.75" customHeight="1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</row>
    <row r="320" spans="1:26" ht="15.75" customHeight="1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</row>
    <row r="321" spans="1:26" ht="15.75" customHeight="1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</row>
    <row r="322" spans="1:26" ht="15.75" customHeight="1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</row>
    <row r="323" spans="1:26" ht="15.75" customHeight="1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</row>
    <row r="324" spans="1:26" ht="15.75" customHeight="1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</row>
    <row r="325" spans="1:26" ht="15.75" customHeight="1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</row>
    <row r="326" spans="1:26" ht="15.75" customHeight="1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</row>
    <row r="327" spans="1:26" ht="15.75" customHeight="1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</row>
    <row r="328" spans="1:26" ht="15.75" customHeight="1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</row>
    <row r="329" spans="1:26" ht="15.75" customHeight="1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</row>
    <row r="330" spans="1:26" ht="15.75" customHeight="1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</row>
    <row r="331" spans="1:26" ht="15.75" customHeight="1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</row>
    <row r="332" spans="1:26" ht="15.75" customHeight="1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</row>
    <row r="333" spans="1:26" ht="15.75" customHeight="1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</row>
    <row r="334" spans="1:26" ht="15.75" customHeight="1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</row>
    <row r="335" spans="1:26" ht="15.75" customHeight="1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</row>
    <row r="336" spans="1:26" ht="15.75" customHeight="1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</row>
    <row r="337" spans="1:26" ht="15.75" customHeight="1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</row>
    <row r="338" spans="1:26" ht="15.75" customHeight="1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</row>
    <row r="339" spans="1:26" ht="15.75" customHeight="1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</row>
    <row r="340" spans="1:26" ht="15.75" customHeight="1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</row>
    <row r="341" spans="1:26" ht="15.75" customHeight="1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</row>
    <row r="342" spans="1:26" ht="15.75" customHeight="1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</row>
    <row r="343" spans="1:26" ht="15.75" customHeight="1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</row>
    <row r="344" spans="1:26" ht="15.75" customHeight="1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</row>
    <row r="345" spans="1:26" ht="15.75" customHeight="1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</row>
    <row r="346" spans="1:26" ht="15.75" customHeight="1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</row>
    <row r="347" spans="1:26" ht="15.75" customHeight="1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</row>
    <row r="348" spans="1:26" ht="15.75" customHeight="1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</row>
    <row r="349" spans="1:26" ht="15.75" customHeight="1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</row>
    <row r="350" spans="1:26" ht="15.75" customHeight="1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</row>
    <row r="351" spans="1:26" ht="15.75" customHeight="1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</row>
    <row r="352" spans="1:26" ht="15.75" customHeight="1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</row>
    <row r="353" spans="1:26" ht="15.75" customHeight="1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</row>
    <row r="354" spans="1:26" ht="15.75" customHeight="1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</row>
    <row r="355" spans="1:26" ht="15.75" customHeight="1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</row>
    <row r="356" spans="1:26" ht="15.75" customHeight="1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</row>
    <row r="357" spans="1:26" ht="15.75" customHeight="1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</row>
    <row r="358" spans="1:26" ht="15.75" customHeight="1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</row>
    <row r="359" spans="1:26" ht="15.75" customHeight="1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</row>
    <row r="360" spans="1:26" ht="15.75" customHeight="1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</row>
    <row r="361" spans="1:26" ht="15.75" customHeight="1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</row>
    <row r="362" spans="1:26" ht="15.75" customHeight="1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</row>
    <row r="363" spans="1:26" ht="15.75" customHeight="1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</row>
    <row r="364" spans="1:26" ht="15.75" customHeight="1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</row>
    <row r="365" spans="1:26" ht="15.75" customHeight="1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</row>
    <row r="366" spans="1:26" ht="15.75" customHeight="1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</row>
    <row r="367" spans="1:26" ht="15.75" customHeight="1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</row>
    <row r="368" spans="1:26" ht="15.75" customHeight="1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</row>
    <row r="369" spans="1:26" ht="15.75" customHeight="1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</row>
    <row r="370" spans="1:26" ht="15.75" customHeight="1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</row>
    <row r="371" spans="1:26" ht="15.75" customHeight="1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</row>
    <row r="372" spans="1:26" ht="15.75" customHeight="1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</row>
    <row r="373" spans="1:26" ht="15.75" customHeight="1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</row>
    <row r="374" spans="1:26" ht="15.75" customHeight="1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</row>
    <row r="375" spans="1:26" ht="15.75" customHeight="1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</row>
    <row r="376" spans="1:26" ht="15.75" customHeight="1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</row>
    <row r="377" spans="1:26" ht="15.75" customHeight="1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</row>
    <row r="378" spans="1:26" ht="15.75" customHeight="1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</row>
    <row r="379" spans="1:26" ht="15.75" customHeight="1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</row>
    <row r="380" spans="1:26" ht="15.75" customHeight="1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</row>
    <row r="381" spans="1:26" ht="15.75" customHeight="1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</row>
    <row r="382" spans="1:26" ht="15.75" customHeight="1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</row>
    <row r="383" spans="1:26" ht="15.75" customHeight="1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</row>
    <row r="384" spans="1:26" ht="15.75" customHeight="1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</row>
    <row r="385" spans="1:26" ht="15.75" customHeight="1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</row>
    <row r="386" spans="1:26" ht="15.75" customHeight="1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</row>
    <row r="387" spans="1:26" ht="15.75" customHeight="1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</row>
    <row r="388" spans="1:26" ht="15.75" customHeight="1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</row>
    <row r="389" spans="1:26" ht="15.75" customHeight="1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</row>
    <row r="390" spans="1:26" ht="15.75" customHeight="1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</row>
    <row r="391" spans="1:26" ht="15.75" customHeight="1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</row>
    <row r="392" spans="1:26" ht="15.75" customHeight="1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</row>
    <row r="393" spans="1:26" ht="15.75" customHeight="1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</row>
    <row r="394" spans="1:26" ht="15.75" customHeight="1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</row>
    <row r="395" spans="1:26" ht="15.75" customHeight="1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</row>
    <row r="396" spans="1:26" ht="15.75" customHeight="1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</row>
    <row r="397" spans="1:26" ht="15.75" customHeight="1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</row>
    <row r="398" spans="1:26" ht="15.75" customHeight="1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</row>
    <row r="399" spans="1:26" ht="15.75" customHeight="1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</row>
    <row r="400" spans="1:26" ht="15.75" customHeight="1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</row>
    <row r="401" spans="1:26" ht="15.75" customHeight="1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</row>
    <row r="402" spans="1:26" ht="15.75" customHeight="1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</row>
    <row r="403" spans="1:26" ht="15.75" customHeight="1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</row>
    <row r="404" spans="1:26" ht="15.75" customHeight="1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</row>
    <row r="405" spans="1:26" ht="15.75" customHeight="1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</row>
    <row r="406" spans="1:26" ht="15.75" customHeight="1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</row>
    <row r="407" spans="1:26" ht="15.75" customHeight="1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</row>
    <row r="408" spans="1:26" ht="15.75" customHeight="1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</row>
    <row r="409" spans="1:26" ht="15.75" customHeight="1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</row>
    <row r="410" spans="1:26" ht="15.75" customHeight="1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</row>
    <row r="411" spans="1:26" ht="15.75" customHeight="1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</row>
    <row r="412" spans="1:26" ht="15.75" customHeight="1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</row>
    <row r="413" spans="1:26" ht="15.75" customHeight="1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</row>
    <row r="414" spans="1:26" ht="15.75" customHeight="1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</row>
    <row r="415" spans="1:26" ht="15.75" customHeight="1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</row>
    <row r="416" spans="1:26" ht="15.75" customHeight="1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</row>
    <row r="417" spans="1:26" ht="15.75" customHeight="1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</row>
    <row r="418" spans="1:26" ht="15.75" customHeight="1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</row>
    <row r="419" spans="1:26" ht="15.75" customHeight="1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</row>
    <row r="420" spans="1:26" ht="15.75" customHeight="1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</row>
    <row r="421" spans="1:26" ht="15.75" customHeight="1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</row>
    <row r="422" spans="1:26" ht="15.75" customHeight="1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</row>
    <row r="423" spans="1:26" ht="15.75" customHeight="1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</row>
    <row r="424" spans="1:26" ht="15.75" customHeight="1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</row>
    <row r="425" spans="1:26" ht="15.75" customHeight="1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</row>
    <row r="426" spans="1:26" ht="15.75" customHeight="1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</row>
    <row r="427" spans="1:26" ht="15.75" customHeight="1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</row>
    <row r="428" spans="1:26" ht="15.75" customHeight="1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</row>
    <row r="429" spans="1:26" ht="15.75" customHeight="1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</row>
    <row r="430" spans="1:26" ht="15.75" customHeight="1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</row>
    <row r="431" spans="1:26" ht="15.75" customHeight="1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</row>
    <row r="432" spans="1:26" ht="15.75" customHeight="1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</row>
    <row r="433" spans="1:26" ht="15.75" customHeight="1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</row>
    <row r="434" spans="1:26" ht="15.75" customHeight="1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</row>
    <row r="435" spans="1:26" ht="15.75" customHeight="1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</row>
    <row r="436" spans="1:26" ht="15.75" customHeight="1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</row>
    <row r="437" spans="1:26" ht="15.75" customHeight="1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</row>
    <row r="438" spans="1:26" ht="15.75" customHeight="1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</row>
    <row r="439" spans="1:26" ht="15.75" customHeight="1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</row>
    <row r="440" spans="1:26" ht="15.75" customHeight="1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</row>
    <row r="441" spans="1:26" ht="15.75" customHeight="1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</row>
    <row r="442" spans="1:26" ht="15.75" customHeight="1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</row>
    <row r="443" spans="1:26" ht="15.75" customHeight="1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</row>
    <row r="444" spans="1:26" ht="15.75" customHeight="1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</row>
    <row r="445" spans="1:26" ht="15.75" customHeight="1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</row>
    <row r="446" spans="1:26" ht="15.75" customHeight="1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</row>
    <row r="447" spans="1:26" ht="15.75" customHeight="1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</row>
    <row r="448" spans="1:26" ht="15.75" customHeight="1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</row>
    <row r="449" spans="1:26" ht="15.75" customHeight="1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</row>
    <row r="450" spans="1:26" ht="15.75" customHeight="1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</row>
    <row r="451" spans="1:26" ht="15.75" customHeight="1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</row>
    <row r="452" spans="1:26" ht="15.75" customHeight="1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</row>
    <row r="453" spans="1:26" ht="15.75" customHeight="1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</row>
    <row r="454" spans="1:26" ht="15.75" customHeight="1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</row>
    <row r="455" spans="1:26" ht="15.75" customHeight="1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</row>
    <row r="456" spans="1:26" ht="15.75" customHeight="1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</row>
    <row r="457" spans="1:26" ht="15.75" customHeight="1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</row>
    <row r="458" spans="1:26" ht="15.75" customHeight="1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</row>
    <row r="459" spans="1:26" ht="15.75" customHeight="1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</row>
    <row r="460" spans="1:26" ht="15.75" customHeight="1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</row>
    <row r="461" spans="1:26" ht="15.75" customHeight="1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</row>
    <row r="462" spans="1:26" ht="15.75" customHeight="1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</row>
    <row r="463" spans="1:26" ht="15.75" customHeight="1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</row>
    <row r="464" spans="1:26" ht="15.75" customHeight="1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</row>
    <row r="465" spans="1:26" ht="15.75" customHeight="1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</row>
    <row r="466" spans="1:26" ht="15.75" customHeight="1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</row>
    <row r="467" spans="1:26" ht="15.75" customHeight="1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</row>
    <row r="468" spans="1:26" ht="15.75" customHeight="1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</row>
    <row r="469" spans="1:26" ht="15.75" customHeight="1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</row>
    <row r="470" spans="1:26" ht="15.75" customHeight="1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</row>
    <row r="471" spans="1:26" ht="15.75" customHeight="1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</row>
    <row r="472" spans="1:26" ht="15.75" customHeight="1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</row>
    <row r="473" spans="1:26" ht="15.75" customHeight="1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</row>
    <row r="474" spans="1:26" ht="15.75" customHeight="1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</row>
    <row r="475" spans="1:26" ht="15.75" customHeight="1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</row>
    <row r="476" spans="1:26" ht="15.75" customHeight="1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</row>
    <row r="477" spans="1:26" ht="15.75" customHeight="1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</row>
    <row r="478" spans="1:26" ht="15.75" customHeight="1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</row>
    <row r="479" spans="1:26" ht="15.75" customHeight="1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</row>
    <row r="480" spans="1:26" ht="15.75" customHeight="1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</row>
    <row r="481" spans="1:26" ht="15.75" customHeight="1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</row>
    <row r="482" spans="1:26" ht="15.75" customHeight="1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</row>
    <row r="483" spans="1:26" ht="15.75" customHeight="1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</row>
    <row r="484" spans="1:26" ht="15.75" customHeight="1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</row>
    <row r="485" spans="1:26" ht="15.75" customHeight="1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</row>
    <row r="486" spans="1:26" ht="15.75" customHeight="1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</row>
    <row r="487" spans="1:26" ht="15.75" customHeight="1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</row>
    <row r="488" spans="1:26" ht="15.75" customHeight="1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</row>
    <row r="489" spans="1:26" ht="15.75" customHeight="1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</row>
    <row r="490" spans="1:26" ht="15.75" customHeight="1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</row>
    <row r="491" spans="1:26" ht="15.75" customHeight="1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</row>
    <row r="492" spans="1:26" ht="15.75" customHeight="1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</row>
    <row r="493" spans="1:26" ht="15.75" customHeight="1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</row>
    <row r="494" spans="1:26" ht="15.75" customHeight="1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</row>
    <row r="495" spans="1:26" ht="15.75" customHeight="1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</row>
    <row r="496" spans="1:26" ht="15.75" customHeight="1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</row>
    <row r="497" spans="1:26" ht="15.75" customHeight="1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</row>
    <row r="498" spans="1:26" ht="15.75" customHeight="1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</row>
    <row r="499" spans="1:26" ht="15.75" customHeight="1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</row>
    <row r="500" spans="1:26" ht="15.75" customHeight="1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</row>
    <row r="501" spans="1:26" ht="15.75" customHeight="1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</row>
    <row r="502" spans="1:26" ht="15.75" customHeight="1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</row>
    <row r="503" spans="1:26" ht="15.75" customHeight="1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</row>
    <row r="504" spans="1:26" ht="15.75" customHeight="1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</row>
    <row r="505" spans="1:26" ht="15.75" customHeight="1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</row>
    <row r="506" spans="1:26" ht="15.75" customHeight="1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</row>
    <row r="507" spans="1:26" ht="15.75" customHeight="1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</row>
    <row r="508" spans="1:26" ht="15.75" customHeight="1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</row>
    <row r="509" spans="1:26" ht="15.75" customHeight="1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</row>
    <row r="510" spans="1:26" ht="15.75" customHeight="1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</row>
    <row r="511" spans="1:26" ht="15.75" customHeight="1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</row>
    <row r="512" spans="1:26" ht="15.75" customHeight="1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</row>
    <row r="513" spans="1:26" ht="15.75" customHeight="1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</row>
    <row r="514" spans="1:26" ht="15.75" customHeight="1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</row>
    <row r="515" spans="1:26" ht="15.75" customHeight="1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</row>
    <row r="516" spans="1:26" ht="15.75" customHeight="1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</row>
    <row r="517" spans="1:26" ht="15.75" customHeight="1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</row>
    <row r="518" spans="1:26" ht="15.75" customHeight="1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</row>
    <row r="519" spans="1:26" ht="15.75" customHeight="1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</row>
    <row r="520" spans="1:26" ht="15.75" customHeight="1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</row>
    <row r="521" spans="1:26" ht="15.75" customHeight="1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</row>
    <row r="522" spans="1:26" ht="15.75" customHeight="1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</row>
    <row r="523" spans="1:26" ht="15.75" customHeight="1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</row>
    <row r="524" spans="1:26" ht="15.75" customHeight="1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</row>
    <row r="525" spans="1:26" ht="15.75" customHeight="1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</row>
    <row r="526" spans="1:26" ht="15.75" customHeight="1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</row>
    <row r="527" spans="1:26" ht="15.75" customHeight="1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</row>
    <row r="528" spans="1:26" ht="15.75" customHeight="1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</row>
    <row r="529" spans="1:26" ht="15.75" customHeight="1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</row>
    <row r="530" spans="1:26" ht="15.75" customHeight="1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</row>
    <row r="531" spans="1:26" ht="15.75" customHeight="1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</row>
    <row r="532" spans="1:26" ht="15.75" customHeight="1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</row>
    <row r="533" spans="1:26" ht="15.75" customHeight="1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</row>
    <row r="534" spans="1:26" ht="15.75" customHeight="1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</row>
    <row r="535" spans="1:26" ht="15.75" customHeight="1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</row>
    <row r="536" spans="1:26" ht="15.75" customHeight="1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</row>
    <row r="537" spans="1:26" ht="15.75" customHeight="1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</row>
    <row r="538" spans="1:26" ht="15.75" customHeight="1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</row>
    <row r="539" spans="1:26" ht="15.75" customHeight="1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</row>
    <row r="540" spans="1:26" ht="15.75" customHeight="1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</row>
    <row r="541" spans="1:26" ht="15.75" customHeight="1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</row>
    <row r="542" spans="1:26" ht="15.75" customHeight="1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</row>
    <row r="543" spans="1:26" ht="15.75" customHeight="1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</row>
    <row r="544" spans="1:26" ht="15.75" customHeight="1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</row>
    <row r="545" spans="1:26" ht="15.75" customHeight="1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</row>
    <row r="546" spans="1:26" ht="15.75" customHeight="1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</row>
    <row r="547" spans="1:26" ht="15.75" customHeight="1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</row>
    <row r="548" spans="1:26" ht="15.75" customHeight="1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</row>
    <row r="549" spans="1:26" ht="15.75" customHeight="1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</row>
    <row r="550" spans="1:26" ht="15.75" customHeight="1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</row>
    <row r="551" spans="1:26" ht="15.75" customHeight="1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</row>
    <row r="552" spans="1:26" ht="15.75" customHeight="1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</row>
    <row r="553" spans="1:26" ht="15.75" customHeight="1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</row>
    <row r="554" spans="1:26" ht="15.75" customHeight="1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</row>
    <row r="555" spans="1:26" ht="15.75" customHeight="1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</row>
    <row r="556" spans="1:26" ht="15.75" customHeight="1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</row>
    <row r="557" spans="1:26" ht="15.75" customHeight="1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</row>
    <row r="558" spans="1:26" ht="15.75" customHeight="1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</row>
    <row r="559" spans="1:26" ht="15.75" customHeight="1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</row>
    <row r="560" spans="1:26" ht="15.75" customHeight="1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</row>
    <row r="561" spans="1:26" ht="15.75" customHeight="1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</row>
    <row r="562" spans="1:26" ht="15.75" customHeight="1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</row>
    <row r="563" spans="1:26" ht="15.75" customHeight="1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</row>
    <row r="564" spans="1:26" ht="15.75" customHeight="1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</row>
    <row r="565" spans="1:26" ht="15.75" customHeight="1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</row>
    <row r="566" spans="1:26" ht="15.75" customHeight="1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</row>
    <row r="567" spans="1:26" ht="15.75" customHeight="1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</row>
    <row r="568" spans="1:26" ht="15.75" customHeight="1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</row>
    <row r="569" spans="1:26" ht="15.75" customHeight="1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</row>
    <row r="570" spans="1:26" ht="15.75" customHeight="1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</row>
    <row r="571" spans="1:26" ht="15.75" customHeight="1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</row>
    <row r="572" spans="1:26" ht="15.75" customHeight="1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</row>
    <row r="573" spans="1:26" ht="15.75" customHeight="1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</row>
    <row r="574" spans="1:26" ht="15.75" customHeight="1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</row>
    <row r="575" spans="1:26" ht="15.75" customHeight="1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</row>
    <row r="576" spans="1:26" ht="15.75" customHeight="1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</row>
    <row r="577" spans="1:26" ht="15.75" customHeight="1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</row>
    <row r="578" spans="1:26" ht="15.75" customHeight="1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</row>
    <row r="579" spans="1:26" ht="15.75" customHeight="1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</row>
    <row r="580" spans="1:26" ht="15.75" customHeight="1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</row>
    <row r="581" spans="1:26" ht="15.75" customHeight="1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</row>
    <row r="582" spans="1:26" ht="15.75" customHeight="1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</row>
    <row r="583" spans="1:26" ht="15.75" customHeight="1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</row>
    <row r="584" spans="1:26" ht="15.75" customHeight="1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</row>
    <row r="585" spans="1:26" ht="15.75" customHeight="1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</row>
    <row r="586" spans="1:26" ht="15.75" customHeight="1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</row>
    <row r="587" spans="1:26" ht="15.75" customHeight="1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</row>
    <row r="588" spans="1:26" ht="15.75" customHeight="1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</row>
    <row r="589" spans="1:26" ht="15.75" customHeight="1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</row>
    <row r="590" spans="1:26" ht="15.75" customHeight="1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</row>
    <row r="591" spans="1:26" ht="15.75" customHeight="1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</row>
    <row r="592" spans="1:26" ht="15.75" customHeight="1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</row>
    <row r="593" spans="1:26" ht="15.75" customHeight="1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</row>
    <row r="594" spans="1:26" ht="15.75" customHeight="1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</row>
    <row r="595" spans="1:26" ht="15.75" customHeight="1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</row>
    <row r="596" spans="1:26" ht="15.75" customHeight="1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</row>
    <row r="597" spans="1:26" ht="15.75" customHeight="1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</row>
    <row r="598" spans="1:26" ht="15.75" customHeight="1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</row>
    <row r="599" spans="1:26" ht="15.75" customHeight="1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</row>
    <row r="600" spans="1:26" ht="15.75" customHeight="1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</row>
    <row r="601" spans="1:26" ht="15.75" customHeight="1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</row>
    <row r="602" spans="1:26" ht="15.75" customHeight="1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</row>
    <row r="603" spans="1:26" ht="15.75" customHeight="1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</row>
    <row r="604" spans="1:26" ht="15.75" customHeight="1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</row>
    <row r="605" spans="1:26" ht="15.75" customHeight="1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</row>
    <row r="606" spans="1:26" ht="15.75" customHeight="1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</row>
    <row r="607" spans="1:26" ht="15.75" customHeight="1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</row>
    <row r="608" spans="1:26" ht="15.75" customHeight="1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</row>
    <row r="609" spans="1:26" ht="15.75" customHeight="1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</row>
    <row r="610" spans="1:26" ht="15.75" customHeight="1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</row>
    <row r="611" spans="1:26" ht="15.75" customHeight="1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</row>
    <row r="612" spans="1:26" ht="15.75" customHeight="1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</row>
    <row r="613" spans="1:26" ht="15.75" customHeight="1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</row>
    <row r="614" spans="1:26" ht="15.75" customHeight="1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</row>
    <row r="615" spans="1:26" ht="15.75" customHeight="1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</row>
    <row r="616" spans="1:26" ht="15.75" customHeight="1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</row>
    <row r="617" spans="1:26" ht="15.75" customHeight="1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</row>
    <row r="618" spans="1:26" ht="15.75" customHeight="1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</row>
    <row r="619" spans="1:26" ht="15.75" customHeight="1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</row>
    <row r="620" spans="1:26" ht="15.75" customHeight="1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</row>
    <row r="621" spans="1:26" ht="15.75" customHeight="1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</row>
    <row r="622" spans="1:26" ht="15.75" customHeight="1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</row>
    <row r="623" spans="1:26" ht="15.75" customHeight="1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</row>
    <row r="624" spans="1:26" ht="15.75" customHeight="1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</row>
    <row r="625" spans="1:26" ht="15.75" customHeight="1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</row>
    <row r="626" spans="1:26" ht="15.75" customHeight="1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</row>
    <row r="627" spans="1:26" ht="15.75" customHeight="1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</row>
    <row r="628" spans="1:26" ht="15.75" customHeight="1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</row>
    <row r="629" spans="1:26" ht="15.75" customHeight="1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</row>
    <row r="630" spans="1:26" ht="15.75" customHeight="1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</row>
    <row r="631" spans="1:26" ht="15.75" customHeight="1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</row>
    <row r="632" spans="1:26" ht="15.75" customHeight="1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</row>
    <row r="633" spans="1:26" ht="15.75" customHeight="1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</row>
    <row r="634" spans="1:26" ht="15.75" customHeight="1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</row>
    <row r="635" spans="1:26" ht="15.75" customHeight="1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</row>
    <row r="636" spans="1:26" ht="15.75" customHeight="1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</row>
    <row r="637" spans="1:26" ht="15.75" customHeight="1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</row>
    <row r="638" spans="1:26" ht="15.75" customHeight="1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</row>
    <row r="639" spans="1:26" ht="15.75" customHeight="1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</row>
    <row r="640" spans="1:26" ht="15.75" customHeight="1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</row>
    <row r="641" spans="1:26" ht="15.75" customHeight="1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</row>
    <row r="642" spans="1:26" ht="15.75" customHeight="1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</row>
    <row r="643" spans="1:26" ht="15.75" customHeight="1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</row>
    <row r="644" spans="1:26" ht="15.75" customHeight="1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</row>
    <row r="645" spans="1:26" ht="15.75" customHeight="1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</row>
    <row r="646" spans="1:26" ht="15.75" customHeight="1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</row>
    <row r="647" spans="1:26" ht="15.75" customHeight="1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</row>
    <row r="648" spans="1:26" ht="15.75" customHeight="1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</row>
    <row r="649" spans="1:26" ht="15.75" customHeight="1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</row>
    <row r="650" spans="1:26" ht="15.75" customHeight="1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</row>
    <row r="651" spans="1:26" ht="15.75" customHeight="1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</row>
    <row r="652" spans="1:26" ht="15.75" customHeight="1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</row>
    <row r="653" spans="1:26" ht="15.75" customHeight="1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</row>
    <row r="654" spans="1:26" ht="15.75" customHeight="1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</row>
    <row r="655" spans="1:26" ht="15.75" customHeight="1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</row>
    <row r="656" spans="1:26" ht="15.75" customHeight="1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</row>
    <row r="657" spans="1:26" ht="15.75" customHeight="1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</row>
    <row r="658" spans="1:26" ht="15.75" customHeight="1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</row>
    <row r="659" spans="1:26" ht="15.75" customHeight="1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</row>
    <row r="660" spans="1:26" ht="15.75" customHeight="1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</row>
    <row r="661" spans="1:26" ht="15.75" customHeight="1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</row>
    <row r="662" spans="1:26" ht="15.75" customHeight="1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</row>
    <row r="663" spans="1:26" ht="15.75" customHeight="1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</row>
    <row r="664" spans="1:26" ht="15.75" customHeight="1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</row>
    <row r="665" spans="1:26" ht="15.75" customHeight="1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</row>
    <row r="666" spans="1:26" ht="15.75" customHeight="1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</row>
    <row r="667" spans="1:26" ht="15.75" customHeight="1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</row>
    <row r="668" spans="1:26" ht="15.75" customHeight="1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</row>
    <row r="669" spans="1:26" ht="15.75" customHeight="1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</row>
    <row r="670" spans="1:26" ht="15.75" customHeight="1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</row>
    <row r="671" spans="1:26" ht="15.75" customHeight="1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</row>
    <row r="672" spans="1:26" ht="15.75" customHeight="1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</row>
    <row r="673" spans="1:26" ht="15.75" customHeight="1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</row>
    <row r="674" spans="1:26" ht="15.75" customHeight="1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</row>
    <row r="675" spans="1:26" ht="15.75" customHeight="1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</row>
    <row r="676" spans="1:26" ht="15.75" customHeight="1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</row>
    <row r="677" spans="1:26" ht="15.75" customHeight="1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</row>
    <row r="678" spans="1:26" ht="15.75" customHeight="1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</row>
    <row r="679" spans="1:26" ht="15.75" customHeight="1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</row>
    <row r="680" spans="1:26" ht="15.75" customHeight="1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</row>
    <row r="681" spans="1:26" ht="15.75" customHeight="1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</row>
    <row r="682" spans="1:26" ht="15.75" customHeight="1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</row>
    <row r="683" spans="1:26" ht="15.75" customHeight="1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</row>
    <row r="684" spans="1:26" ht="15.75" customHeight="1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</row>
    <row r="685" spans="1:26" ht="15.75" customHeight="1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</row>
    <row r="686" spans="1:26" ht="15.75" customHeight="1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</row>
    <row r="687" spans="1:26" ht="15.75" customHeight="1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</row>
    <row r="688" spans="1:26" ht="15.75" customHeight="1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</row>
    <row r="689" spans="1:26" ht="15.75" customHeight="1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</row>
    <row r="690" spans="1:26" ht="15.75" customHeight="1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</row>
    <row r="691" spans="1:26" ht="15.75" customHeight="1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</row>
    <row r="692" spans="1:26" ht="15.75" customHeight="1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</row>
    <row r="693" spans="1:26" ht="15.75" customHeight="1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</row>
    <row r="694" spans="1:26" ht="15.75" customHeight="1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</row>
    <row r="695" spans="1:26" ht="15.75" customHeight="1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</row>
    <row r="696" spans="1:26" ht="15.75" customHeight="1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</row>
    <row r="697" spans="1:26" ht="15.75" customHeight="1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</row>
    <row r="698" spans="1:26" ht="15.75" customHeight="1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</row>
    <row r="699" spans="1:26" ht="15.75" customHeight="1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</row>
    <row r="700" spans="1:26" ht="15.75" customHeight="1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</row>
    <row r="701" spans="1:26" ht="15.75" customHeight="1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</row>
    <row r="702" spans="1:26" ht="15.75" customHeight="1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</row>
    <row r="703" spans="1:26" ht="15.75" customHeight="1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</row>
    <row r="704" spans="1:26" ht="15.75" customHeight="1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</row>
    <row r="705" spans="1:26" ht="15.75" customHeight="1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</row>
    <row r="706" spans="1:26" ht="15.75" customHeight="1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</row>
    <row r="707" spans="1:26" ht="15.75" customHeight="1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</row>
    <row r="708" spans="1:26" ht="15.75" customHeight="1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</row>
    <row r="709" spans="1:26" ht="15.75" customHeight="1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</row>
    <row r="710" spans="1:26" ht="15.75" customHeight="1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</row>
    <row r="711" spans="1:26" ht="15.75" customHeight="1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</row>
    <row r="712" spans="1:26" ht="15.75" customHeight="1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</row>
    <row r="713" spans="1:26" ht="15.75" customHeight="1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</row>
    <row r="714" spans="1:26" ht="15.75" customHeight="1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</row>
    <row r="715" spans="1:26" ht="15.75" customHeight="1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</row>
    <row r="716" spans="1:26" ht="15.75" customHeight="1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</row>
    <row r="717" spans="1:26" ht="15.75" customHeight="1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</row>
    <row r="718" spans="1:26" ht="15.75" customHeight="1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</row>
    <row r="719" spans="1:26" ht="15.75" customHeight="1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</row>
    <row r="720" spans="1:26" ht="15.75" customHeight="1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</row>
    <row r="721" spans="1:26" ht="15.75" customHeight="1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</row>
    <row r="722" spans="1:26" ht="15.75" customHeight="1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</row>
    <row r="723" spans="1:26" ht="15.75" customHeight="1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</row>
    <row r="724" spans="1:26" ht="15.75" customHeight="1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</row>
    <row r="725" spans="1:26" ht="15.75" customHeight="1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</row>
    <row r="726" spans="1:26" ht="15.75" customHeight="1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</row>
    <row r="727" spans="1:26" ht="15.75" customHeight="1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</row>
    <row r="728" spans="1:26" ht="15.75" customHeight="1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</row>
    <row r="729" spans="1:26" ht="15.75" customHeight="1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</row>
    <row r="730" spans="1:26" ht="15.75" customHeight="1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</row>
    <row r="731" spans="1:26" ht="15.75" customHeight="1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</row>
    <row r="732" spans="1:26" ht="15.75" customHeight="1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</row>
    <row r="733" spans="1:26" ht="15.75" customHeight="1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</row>
    <row r="734" spans="1:26" ht="15.75" customHeight="1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</row>
    <row r="735" spans="1:26" ht="15.75" customHeight="1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</row>
    <row r="736" spans="1:26" ht="15.75" customHeight="1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</row>
    <row r="737" spans="1:26" ht="15.75" customHeight="1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</row>
    <row r="738" spans="1:26" ht="15.75" customHeight="1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</row>
    <row r="739" spans="1:26" ht="15.75" customHeight="1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</row>
    <row r="740" spans="1:26" ht="15.75" customHeight="1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</row>
    <row r="741" spans="1:26" ht="15.75" customHeight="1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</row>
    <row r="742" spans="1:26" ht="15.75" customHeight="1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</row>
    <row r="743" spans="1:26" ht="15.75" customHeight="1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</row>
    <row r="744" spans="1:26" ht="15.75" customHeight="1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</row>
    <row r="745" spans="1:26" ht="15.75" customHeight="1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</row>
    <row r="746" spans="1:26" ht="15.75" customHeight="1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</row>
    <row r="747" spans="1:26" ht="15.75" customHeight="1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</row>
    <row r="748" spans="1:26" ht="15.75" customHeight="1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</row>
    <row r="749" spans="1:26" ht="15.75" customHeight="1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</row>
    <row r="750" spans="1:26" ht="15.75" customHeight="1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</row>
    <row r="751" spans="1:26" ht="15.75" customHeight="1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</row>
    <row r="752" spans="1:26" ht="15.75" customHeight="1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</row>
    <row r="753" spans="1:26" ht="15.75" customHeight="1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</row>
    <row r="754" spans="1:26" ht="15.75" customHeight="1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</row>
    <row r="755" spans="1:26" ht="15.75" customHeight="1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</row>
    <row r="756" spans="1:26" ht="15.75" customHeight="1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</row>
    <row r="757" spans="1:26" ht="15.75" customHeight="1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</row>
    <row r="758" spans="1:26" ht="15.75" customHeight="1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</row>
    <row r="759" spans="1:26" ht="15.75" customHeight="1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</row>
    <row r="760" spans="1:26" ht="15.75" customHeight="1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</row>
    <row r="761" spans="1:26" ht="15.75" customHeight="1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</row>
    <row r="762" spans="1:26" ht="15.75" customHeight="1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</row>
    <row r="763" spans="1:26" ht="15.75" customHeight="1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</row>
    <row r="764" spans="1:26" ht="15.75" customHeight="1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</row>
    <row r="765" spans="1:26" ht="15.75" customHeight="1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</row>
    <row r="766" spans="1:26" ht="15.75" customHeight="1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</row>
    <row r="767" spans="1:26" ht="15.75" customHeight="1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</row>
    <row r="768" spans="1:26" ht="15.75" customHeight="1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</row>
    <row r="769" spans="1:26" ht="15.75" customHeight="1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</row>
    <row r="770" spans="1:26" ht="15.75" customHeight="1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</row>
    <row r="771" spans="1:26" ht="15.75" customHeight="1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</row>
    <row r="772" spans="1:26" ht="15.75" customHeight="1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</row>
    <row r="773" spans="1:26" ht="15.75" customHeight="1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</row>
    <row r="774" spans="1:26" ht="15.75" customHeight="1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</row>
    <row r="775" spans="1:26" ht="15.75" customHeight="1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</row>
    <row r="776" spans="1:26" ht="15.75" customHeight="1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</row>
    <row r="777" spans="1:26" ht="15.75" customHeight="1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</row>
    <row r="778" spans="1:26" ht="15.75" customHeight="1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</row>
    <row r="779" spans="1:26" ht="15.75" customHeight="1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</row>
    <row r="780" spans="1:26" ht="15.75" customHeight="1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</row>
    <row r="781" spans="1:26" ht="15.75" customHeight="1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</row>
    <row r="782" spans="1:26" ht="15.75" customHeight="1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</row>
    <row r="783" spans="1:26" ht="15.75" customHeight="1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</row>
    <row r="784" spans="1:26" ht="15.75" customHeight="1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</row>
    <row r="785" spans="1:26" ht="15.75" customHeight="1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</row>
    <row r="786" spans="1:26" ht="15.75" customHeight="1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</row>
    <row r="787" spans="1:26" ht="15.75" customHeight="1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</row>
    <row r="788" spans="1:26" ht="15.75" customHeight="1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</row>
    <row r="789" spans="1:26" ht="15.75" customHeight="1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</row>
    <row r="790" spans="1:26" ht="15.75" customHeight="1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</row>
    <row r="791" spans="1:26" ht="15.75" customHeight="1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</row>
    <row r="792" spans="1:26" ht="15.75" customHeight="1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</row>
    <row r="793" spans="1:26" ht="15.75" customHeight="1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</row>
    <row r="794" spans="1:26" ht="15.75" customHeight="1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</row>
    <row r="795" spans="1:26" ht="15.75" customHeight="1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</row>
    <row r="796" spans="1:26" ht="15.75" customHeight="1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</row>
    <row r="797" spans="1:26" ht="15.75" customHeight="1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</row>
    <row r="798" spans="1:26" ht="15.75" customHeight="1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</row>
    <row r="799" spans="1:26" ht="15.75" customHeight="1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</row>
    <row r="800" spans="1:26" ht="15.75" customHeight="1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</row>
    <row r="801" spans="1:26" ht="15.75" customHeight="1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</row>
    <row r="802" spans="1:26" ht="15.75" customHeight="1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</row>
    <row r="803" spans="1:26" ht="15.75" customHeight="1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</row>
    <row r="804" spans="1:26" ht="15.75" customHeight="1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</row>
    <row r="805" spans="1:26" ht="15.75" customHeight="1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</row>
    <row r="806" spans="1:26" ht="15.75" customHeight="1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</row>
    <row r="807" spans="1:26" ht="15.75" customHeight="1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</row>
    <row r="808" spans="1:26" ht="15.75" customHeight="1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</row>
    <row r="809" spans="1:26" ht="15.75" customHeight="1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</row>
    <row r="810" spans="1:26" ht="15.75" customHeight="1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</row>
    <row r="811" spans="1:26" ht="15.75" customHeight="1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</row>
    <row r="812" spans="1:26" ht="15.75" customHeight="1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</row>
    <row r="813" spans="1:26" ht="15.75" customHeight="1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</row>
    <row r="814" spans="1:26" ht="15.75" customHeight="1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</row>
    <row r="815" spans="1:26" ht="15.75" customHeight="1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</row>
    <row r="816" spans="1:26" ht="15.75" customHeight="1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</row>
    <row r="817" spans="1:26" ht="15.75" customHeight="1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</row>
    <row r="818" spans="1:26" ht="15.75" customHeight="1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</row>
    <row r="819" spans="1:26" ht="15.75" customHeight="1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</row>
    <row r="820" spans="1:26" ht="15.75" customHeight="1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</row>
    <row r="821" spans="1:26" ht="15.75" customHeight="1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</row>
    <row r="822" spans="1:26" ht="15.75" customHeight="1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</row>
    <row r="823" spans="1:26" ht="15.75" customHeight="1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</row>
    <row r="824" spans="1:26" ht="15.75" customHeight="1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</row>
    <row r="825" spans="1:26" ht="15.75" customHeight="1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</row>
    <row r="826" spans="1:26" ht="15.75" customHeight="1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</row>
    <row r="827" spans="1:26" ht="15.75" customHeight="1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</row>
    <row r="828" spans="1:26" ht="15.75" customHeight="1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</row>
    <row r="829" spans="1:26" ht="15.75" customHeight="1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</row>
    <row r="830" spans="1:26" ht="15.75" customHeight="1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</row>
    <row r="831" spans="1:26" ht="15.75" customHeight="1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</row>
    <row r="832" spans="1:26" ht="15.75" customHeight="1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</row>
    <row r="833" spans="1:26" ht="15.75" customHeight="1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</row>
    <row r="834" spans="1:26" ht="15.75" customHeight="1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</row>
    <row r="835" spans="1:26" ht="15.75" customHeight="1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</row>
    <row r="836" spans="1:26" ht="15.75" customHeight="1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</row>
    <row r="837" spans="1:26" ht="15.75" customHeight="1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</row>
    <row r="838" spans="1:26" ht="15.75" customHeight="1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</row>
    <row r="839" spans="1:26" ht="15.75" customHeight="1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</row>
    <row r="840" spans="1:26" ht="15.75" customHeight="1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</row>
    <row r="841" spans="1:26" ht="15.75" customHeight="1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</row>
    <row r="842" spans="1:26" ht="15.75" customHeight="1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</row>
    <row r="843" spans="1:26" ht="15.75" customHeight="1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</row>
    <row r="844" spans="1:26" ht="15.75" customHeight="1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</row>
    <row r="845" spans="1:26" ht="15.75" customHeight="1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</row>
    <row r="846" spans="1:26" ht="15.75" customHeight="1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</row>
    <row r="847" spans="1:26" ht="15.75" customHeight="1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</row>
    <row r="848" spans="1:26" ht="15.75" customHeight="1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</row>
    <row r="849" spans="1:26" ht="15.75" customHeight="1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</row>
    <row r="850" spans="1:26" ht="15.75" customHeight="1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</row>
    <row r="851" spans="1:26" ht="15.75" customHeight="1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</row>
    <row r="852" spans="1:26" ht="15.75" customHeight="1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</row>
    <row r="853" spans="1:26" ht="15.75" customHeight="1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</row>
    <row r="854" spans="1:26" ht="15.75" customHeight="1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</row>
    <row r="855" spans="1:26" ht="15.75" customHeight="1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</row>
    <row r="856" spans="1:26" ht="15.75" customHeight="1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</row>
    <row r="857" spans="1:26" ht="15.75" customHeight="1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</row>
    <row r="858" spans="1:26" ht="15.75" customHeight="1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</row>
    <row r="859" spans="1:26" ht="15.75" customHeight="1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</row>
    <row r="860" spans="1:26" ht="15.75" customHeight="1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</row>
    <row r="861" spans="1:26" ht="15.75" customHeight="1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</row>
    <row r="862" spans="1:26" ht="15.75" customHeight="1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</row>
    <row r="863" spans="1:26" ht="15.75" customHeight="1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</row>
    <row r="864" spans="1:26" ht="15.75" customHeight="1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</row>
    <row r="865" spans="1:26" ht="15.75" customHeight="1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</row>
    <row r="866" spans="1:26" ht="15.75" customHeight="1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</row>
    <row r="867" spans="1:26" ht="15.75" customHeight="1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</row>
    <row r="868" spans="1:26" ht="15.75" customHeight="1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</row>
    <row r="869" spans="1:26" ht="15.75" customHeight="1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</row>
    <row r="870" spans="1:26" ht="15.75" customHeight="1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</row>
    <row r="871" spans="1:26" ht="15.75" customHeight="1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</row>
    <row r="872" spans="1:26" ht="15.75" customHeight="1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</row>
    <row r="873" spans="1:26" ht="15.75" customHeight="1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</row>
    <row r="874" spans="1:26" ht="15.75" customHeight="1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</row>
    <row r="875" spans="1:26" ht="15.75" customHeight="1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</row>
    <row r="876" spans="1:26" ht="15.75" customHeight="1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</row>
    <row r="877" spans="1:26" ht="15.75" customHeight="1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</row>
    <row r="878" spans="1:26" ht="15.75" customHeight="1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</row>
    <row r="879" spans="1:26" ht="15.75" customHeight="1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</row>
    <row r="880" spans="1:26" ht="15.75" customHeight="1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</row>
    <row r="881" spans="1:26" ht="15.75" customHeight="1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</row>
  </sheetData>
  <sheetProtection sheet="1" objects="1" scenarios="1"/>
  <protectedRanges>
    <protectedRange sqref="C20:D25 C31:D34 C44:D49 C55:D57" name="Intervalo1"/>
  </protectedRanges>
  <mergeCells count="70">
    <mergeCell ref="A58:B58"/>
    <mergeCell ref="A59:D59"/>
    <mergeCell ref="A60:D60"/>
    <mergeCell ref="A57:B57"/>
    <mergeCell ref="A50:B50"/>
    <mergeCell ref="C50:D50"/>
    <mergeCell ref="A51:B52"/>
    <mergeCell ref="C51:C52"/>
    <mergeCell ref="D51:D52"/>
    <mergeCell ref="A53:C53"/>
    <mergeCell ref="A54:B54"/>
    <mergeCell ref="A55:B55"/>
    <mergeCell ref="C55:D55"/>
    <mergeCell ref="A56:B56"/>
    <mergeCell ref="C56:D56"/>
    <mergeCell ref="A47:B47"/>
    <mergeCell ref="C47:D47"/>
    <mergeCell ref="A48:B48"/>
    <mergeCell ref="C48:D48"/>
    <mergeCell ref="A49:B49"/>
    <mergeCell ref="C49:D49"/>
    <mergeCell ref="A44:B44"/>
    <mergeCell ref="C44:D44"/>
    <mergeCell ref="A45:B45"/>
    <mergeCell ref="C45:D45"/>
    <mergeCell ref="A46:B46"/>
    <mergeCell ref="C46:D46"/>
    <mergeCell ref="A36:D36"/>
    <mergeCell ref="A37:D37"/>
    <mergeCell ref="A40:D40"/>
    <mergeCell ref="A42:D42"/>
    <mergeCell ref="A43:B43"/>
    <mergeCell ref="C43:D43"/>
    <mergeCell ref="A35:B35"/>
    <mergeCell ref="A27:B28"/>
    <mergeCell ref="C27:C28"/>
    <mergeCell ref="D27:D28"/>
    <mergeCell ref="A29:C29"/>
    <mergeCell ref="A30:B30"/>
    <mergeCell ref="A31:B31"/>
    <mergeCell ref="C31:D31"/>
    <mergeCell ref="A32:B32"/>
    <mergeCell ref="C32:D32"/>
    <mergeCell ref="A33:B33"/>
    <mergeCell ref="A34:B34"/>
    <mergeCell ref="C34:D34"/>
    <mergeCell ref="A24:B24"/>
    <mergeCell ref="C24:D24"/>
    <mergeCell ref="A25:B25"/>
    <mergeCell ref="C25:D25"/>
    <mergeCell ref="A26:B26"/>
    <mergeCell ref="C26:D26"/>
    <mergeCell ref="A21:B21"/>
    <mergeCell ref="C21:D21"/>
    <mergeCell ref="A22:B22"/>
    <mergeCell ref="C22:D22"/>
    <mergeCell ref="A23:B23"/>
    <mergeCell ref="C23:D23"/>
    <mergeCell ref="A16:D16"/>
    <mergeCell ref="A18:D18"/>
    <mergeCell ref="A19:B19"/>
    <mergeCell ref="C19:D19"/>
    <mergeCell ref="A20:B20"/>
    <mergeCell ref="C20:D20"/>
    <mergeCell ref="A14:D14"/>
    <mergeCell ref="A1:D5"/>
    <mergeCell ref="A6:D6"/>
    <mergeCell ref="A7:D7"/>
    <mergeCell ref="A9:D9"/>
    <mergeCell ref="A12:D12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51991-D906-4CFE-82F8-1085965F5EC9}">
  <dimension ref="A1:AMJ105"/>
  <sheetViews>
    <sheetView zoomScale="140" zoomScaleNormal="140" workbookViewId="0">
      <selection activeCell="C11" sqref="C11:E11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ht="20.25">
      <c r="B1" s="285" t="s">
        <v>59</v>
      </c>
      <c r="C1" s="285"/>
      <c r="D1" s="285"/>
      <c r="E1" s="285"/>
      <c r="F1" s="285"/>
    </row>
    <row r="2" spans="2:6" ht="20.25">
      <c r="B2" s="286" t="s">
        <v>423</v>
      </c>
      <c r="C2" s="286"/>
      <c r="D2" s="286"/>
      <c r="E2" s="108" t="s">
        <v>424</v>
      </c>
      <c r="F2" s="109" t="str">
        <f>DATA_DO_ORCAMENTO_ESTIMATIVO</f>
        <v>XX/XX/20XX</v>
      </c>
    </row>
    <row r="3" spans="2:6" s="92" customFormat="1" ht="25.5">
      <c r="B3" s="287" t="s">
        <v>425</v>
      </c>
      <c r="C3" s="287"/>
      <c r="D3" s="287"/>
      <c r="E3" s="287"/>
      <c r="F3" s="287"/>
    </row>
    <row r="4" spans="2:6" s="92" customFormat="1" ht="15.95" customHeight="1">
      <c r="B4" s="288" t="s">
        <v>1</v>
      </c>
      <c r="C4" s="288"/>
      <c r="D4" s="288"/>
      <c r="E4" s="288"/>
      <c r="F4" s="288"/>
    </row>
    <row r="5" spans="2:6" s="92" customFormat="1" ht="15.95" customHeight="1">
      <c r="B5" s="284" t="s">
        <v>2</v>
      </c>
      <c r="C5" s="284"/>
      <c r="D5" s="289" t="s">
        <v>20</v>
      </c>
      <c r="E5" s="289"/>
      <c r="F5" s="289"/>
    </row>
    <row r="6" spans="2:6" s="92" customFormat="1" ht="15.75" customHeight="1">
      <c r="B6" s="290" t="s">
        <v>3</v>
      </c>
      <c r="C6" s="290"/>
      <c r="D6" s="291" t="str">
        <f>MODALIDADE_DE_LICITACAO</f>
        <v>Pregão nº</v>
      </c>
      <c r="E6" s="291"/>
      <c r="F6" s="111" t="s">
        <v>513</v>
      </c>
    </row>
    <row r="7" spans="2:6" s="92" customFormat="1" ht="15.75" customHeight="1">
      <c r="B7" s="292" t="s">
        <v>426</v>
      </c>
      <c r="C7" s="292"/>
      <c r="D7" s="292"/>
      <c r="E7" s="292"/>
      <c r="F7" s="292"/>
    </row>
    <row r="8" spans="2:6" s="92" customFormat="1" ht="18" customHeight="1">
      <c r="B8" s="112" t="s">
        <v>333</v>
      </c>
      <c r="C8" s="284" t="s">
        <v>427</v>
      </c>
      <c r="D8" s="284"/>
      <c r="E8" s="284"/>
      <c r="F8" s="113" t="str">
        <f>DATA_APRESENTACAO_PROPOSTA</f>
        <v>XX/XX/20XX</v>
      </c>
    </row>
    <row r="9" spans="2:6" s="92" customFormat="1" ht="15.95" customHeight="1">
      <c r="B9" s="114" t="s">
        <v>331</v>
      </c>
      <c r="C9" s="115" t="s">
        <v>428</v>
      </c>
      <c r="D9" s="293" t="s">
        <v>484</v>
      </c>
      <c r="E9" s="293"/>
      <c r="F9" s="293"/>
    </row>
    <row r="10" spans="2:6" s="92" customFormat="1" ht="18.75" customHeight="1">
      <c r="B10" s="112" t="s">
        <v>349</v>
      </c>
      <c r="C10" s="284" t="s">
        <v>429</v>
      </c>
      <c r="D10" s="284"/>
      <c r="E10" s="284"/>
      <c r="F10" s="113" t="s">
        <v>430</v>
      </c>
    </row>
    <row r="11" spans="2:6" s="92" customFormat="1" ht="15.95" customHeight="1">
      <c r="B11" s="114" t="s">
        <v>347</v>
      </c>
      <c r="C11" s="295" t="s">
        <v>431</v>
      </c>
      <c r="D11" s="295"/>
      <c r="E11" s="295"/>
      <c r="F11" s="116">
        <f>NUMERO_MESES_EXEC_CONTRATUAL</f>
        <v>12</v>
      </c>
    </row>
    <row r="12" spans="2:6" s="92" customFormat="1">
      <c r="B12" s="114" t="s">
        <v>345</v>
      </c>
      <c r="C12" s="296" t="s">
        <v>432</v>
      </c>
      <c r="D12" s="296"/>
      <c r="E12" s="296"/>
      <c r="F12" s="110">
        <v>1</v>
      </c>
    </row>
    <row r="13" spans="2:6" s="119" customFormat="1" ht="15" customHeight="1">
      <c r="B13" s="117" t="s">
        <v>433</v>
      </c>
      <c r="C13" s="118"/>
      <c r="D13" s="118"/>
      <c r="E13" s="118"/>
      <c r="F13" s="118"/>
    </row>
    <row r="14" spans="2:6" s="92" customFormat="1">
      <c r="B14" s="112">
        <v>1</v>
      </c>
      <c r="C14" s="284" t="s">
        <v>434</v>
      </c>
      <c r="D14" s="284"/>
      <c r="E14" s="297" t="s">
        <v>435</v>
      </c>
      <c r="F14" s="297"/>
    </row>
    <row r="15" spans="2:6" s="92" customFormat="1">
      <c r="B15" s="112">
        <v>2</v>
      </c>
      <c r="C15" s="120" t="s">
        <v>436</v>
      </c>
      <c r="D15" s="298" t="s">
        <v>437</v>
      </c>
      <c r="E15" s="298"/>
      <c r="F15" s="298"/>
    </row>
    <row r="16" spans="2:6" s="92" customFormat="1" ht="15" customHeight="1">
      <c r="B16" s="112">
        <v>3</v>
      </c>
      <c r="C16" s="121" t="s">
        <v>438</v>
      </c>
      <c r="D16" s="289" t="str">
        <f>IF(CATEGORIA_PROFISSIONAL="","",CATEGORIA_PROFISSIONAL)</f>
        <v/>
      </c>
      <c r="E16" s="289"/>
      <c r="F16" s="289"/>
    </row>
    <row r="17" spans="2:6" s="92" customFormat="1" ht="15" customHeight="1">
      <c r="B17" s="112">
        <v>4</v>
      </c>
      <c r="C17" s="290" t="s">
        <v>439</v>
      </c>
      <c r="D17" s="290"/>
      <c r="E17" s="290"/>
      <c r="F17" s="122">
        <v>44774</v>
      </c>
    </row>
    <row r="18" spans="2:6" s="123" customFormat="1" ht="20.25" customHeight="1">
      <c r="B18" s="299" t="s">
        <v>440</v>
      </c>
      <c r="C18" s="299"/>
      <c r="D18" s="299"/>
      <c r="E18" s="299"/>
      <c r="F18" s="299"/>
    </row>
    <row r="19" spans="2:6">
      <c r="B19" s="300" t="s">
        <v>441</v>
      </c>
      <c r="C19" s="301"/>
      <c r="D19" s="301"/>
      <c r="E19" s="301"/>
      <c r="F19" s="302"/>
    </row>
    <row r="20" spans="2:6">
      <c r="B20" s="124" t="s">
        <v>383</v>
      </c>
      <c r="E20" s="100"/>
      <c r="F20" s="100"/>
    </row>
    <row r="21" spans="2:6" ht="16.5" customHeight="1">
      <c r="B21" s="114">
        <v>1</v>
      </c>
      <c r="C21" s="303" t="s">
        <v>382</v>
      </c>
      <c r="D21" s="303"/>
      <c r="E21" s="303"/>
      <c r="F21" s="125" t="s">
        <v>442</v>
      </c>
    </row>
    <row r="22" spans="2:6" ht="16.350000000000001" customHeight="1">
      <c r="B22" s="114" t="s">
        <v>333</v>
      </c>
      <c r="C22" s="304" t="s">
        <v>443</v>
      </c>
      <c r="D22" s="304"/>
      <c r="E22" s="304"/>
      <c r="F22" s="126">
        <v>1889.51</v>
      </c>
    </row>
    <row r="23" spans="2:6" ht="16.5" customHeight="1">
      <c r="B23" s="114" t="s">
        <v>331</v>
      </c>
      <c r="C23" s="294" t="s">
        <v>444</v>
      </c>
      <c r="D23" s="294"/>
      <c r="E23" s="294"/>
      <c r="F23" s="127">
        <f>30%*AL_1_A_SAL_BASE</f>
        <v>566.85299999999995</v>
      </c>
    </row>
    <row r="24" spans="2:6" ht="15.75" customHeight="1">
      <c r="B24" s="114" t="s">
        <v>349</v>
      </c>
      <c r="C24" s="306" t="s">
        <v>445</v>
      </c>
      <c r="D24" s="306"/>
      <c r="E24" s="306"/>
      <c r="F24" s="126">
        <f>((AL_1_A_SAL_BASE+AL_1_B_ADIC_PERIC)/DIVISOR_DE_HORAS)*DIAS_NA_SEMANA*MEDIA_ANUAL_DIAS_TRABALHO_MES*PERC_ADIC_NOT%</f>
        <v>0</v>
      </c>
    </row>
    <row r="25" spans="2:6" ht="15.75" customHeight="1">
      <c r="B25" s="114" t="s">
        <v>347</v>
      </c>
      <c r="C25" s="294" t="s">
        <v>446</v>
      </c>
      <c r="D25" s="294"/>
      <c r="E25" s="294"/>
      <c r="F25" s="12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114" t="s">
        <v>345</v>
      </c>
      <c r="C26" s="307" t="s">
        <v>447</v>
      </c>
      <c r="D26" s="307"/>
      <c r="E26" s="307"/>
      <c r="F26" s="126">
        <f>PERC_ADIC_INS%*SAL_MINIMO</f>
        <v>0</v>
      </c>
    </row>
    <row r="27" spans="2:6">
      <c r="B27" s="114" t="s">
        <v>343</v>
      </c>
      <c r="C27" s="308" t="str">
        <f>OUTROS_REMUNERACAO_1_DESCRICAO</f>
        <v>Outras Remunerações 1 (Especificar)</v>
      </c>
      <c r="D27" s="308"/>
      <c r="E27" s="308"/>
      <c r="F27" s="127">
        <f>OUTROS_REMUNERACAO_1</f>
        <v>0</v>
      </c>
    </row>
    <row r="28" spans="2:6">
      <c r="B28" s="114" t="s">
        <v>341</v>
      </c>
      <c r="C28" s="304" t="str">
        <f>OUTROS_REMUNERACAO_2_DESCRICAO</f>
        <v>Outras Remunerações 2 (Especificar)</v>
      </c>
      <c r="D28" s="304"/>
      <c r="E28" s="304"/>
      <c r="F28" s="126">
        <f>OUTROS_REMUNERACAO_2</f>
        <v>0</v>
      </c>
    </row>
    <row r="29" spans="2:6">
      <c r="B29" s="114" t="s">
        <v>339</v>
      </c>
      <c r="C29" s="308" t="str">
        <f>OUTROS_REMUNERACAO_3_DESCRICAO</f>
        <v>Outras Remunerações 3 (Especificar)</v>
      </c>
      <c r="D29" s="308"/>
      <c r="E29" s="308"/>
      <c r="F29" s="127">
        <f>OUTROS_REMUNERACAO_3</f>
        <v>0</v>
      </c>
    </row>
    <row r="30" spans="2:6" ht="16.5" customHeight="1">
      <c r="B30" s="303" t="s">
        <v>406</v>
      </c>
      <c r="C30" s="303"/>
      <c r="D30" s="303"/>
      <c r="E30" s="303"/>
      <c r="F30" s="128">
        <f>SUM(F22:F29)</f>
        <v>2456.3629999999998</v>
      </c>
    </row>
    <row r="31" spans="2:6">
      <c r="B31" s="124" t="s">
        <v>386</v>
      </c>
      <c r="E31" s="102"/>
      <c r="F31" s="102"/>
    </row>
    <row r="32" spans="2:6">
      <c r="B32" s="124" t="s">
        <v>387</v>
      </c>
      <c r="C32" s="89"/>
      <c r="D32" s="88"/>
      <c r="E32" s="87"/>
      <c r="F32" s="87"/>
    </row>
    <row r="33" spans="2:6">
      <c r="B33" s="114" t="s">
        <v>388</v>
      </c>
      <c r="C33" s="309" t="s">
        <v>389</v>
      </c>
      <c r="D33" s="309"/>
      <c r="E33" s="125" t="s">
        <v>366</v>
      </c>
      <c r="F33" s="125" t="s">
        <v>442</v>
      </c>
    </row>
    <row r="34" spans="2:6" ht="16.5" customHeight="1">
      <c r="B34" s="114" t="s">
        <v>333</v>
      </c>
      <c r="C34" s="307" t="s">
        <v>391</v>
      </c>
      <c r="D34" s="307"/>
      <c r="E34" s="129">
        <f>PERC_DEC_TERC</f>
        <v>8.3333333333333321</v>
      </c>
      <c r="F34" s="130">
        <f>PERC_DEC_TERC%*MOD_1_REMUNERACAO</f>
        <v>204.6969166666666</v>
      </c>
    </row>
    <row r="35" spans="2:6" s="77" customFormat="1" ht="16.5" customHeight="1">
      <c r="B35" s="125" t="s">
        <v>331</v>
      </c>
      <c r="C35" s="294" t="s">
        <v>393</v>
      </c>
      <c r="D35" s="294"/>
      <c r="E35" s="131">
        <f>PERC_ADIC_FERIAS</f>
        <v>2.7777777777777777</v>
      </c>
      <c r="F35" s="132">
        <f>PERC_ADIC_FERIAS%*MOD_1_REMUNERACAO</f>
        <v>68.232305555555541</v>
      </c>
    </row>
    <row r="36" spans="2:6" s="81" customFormat="1">
      <c r="B36" s="309" t="s">
        <v>406</v>
      </c>
      <c r="C36" s="309"/>
      <c r="D36" s="309"/>
      <c r="E36" s="309"/>
      <c r="F36" s="133">
        <f>SUM(F34:F35)</f>
        <v>272.92922222222217</v>
      </c>
    </row>
    <row r="37" spans="2:6" s="81" customFormat="1" ht="31.5" customHeight="1">
      <c r="B37" s="305" t="s">
        <v>395</v>
      </c>
      <c r="C37" s="305"/>
      <c r="D37" s="305"/>
      <c r="E37" s="305"/>
      <c r="F37" s="305"/>
    </row>
    <row r="38" spans="2:6" s="81" customFormat="1" ht="34.5" customHeight="1">
      <c r="B38" s="114" t="s">
        <v>396</v>
      </c>
      <c r="C38" s="310" t="s">
        <v>397</v>
      </c>
      <c r="D38" s="310"/>
      <c r="E38" s="125" t="s">
        <v>366</v>
      </c>
      <c r="F38" s="125" t="s">
        <v>442</v>
      </c>
    </row>
    <row r="39" spans="2:6" ht="16.5" customHeight="1">
      <c r="B39" s="114" t="s">
        <v>333</v>
      </c>
      <c r="C39" s="307" t="s">
        <v>398</v>
      </c>
      <c r="D39" s="307"/>
      <c r="E39" s="129">
        <f>PERC_INSS</f>
        <v>20</v>
      </c>
      <c r="F39" s="130">
        <f>PERC_INSS%*(MOD_1_REMUNERACAO+SUBMOD_2_1_DEC_TERC_ADIC_FERIAS)</f>
        <v>545.85844444444444</v>
      </c>
    </row>
    <row r="40" spans="2:6" s="92" customFormat="1" ht="16.5" customHeight="1">
      <c r="B40" s="125" t="s">
        <v>331</v>
      </c>
      <c r="C40" s="294" t="s">
        <v>399</v>
      </c>
      <c r="D40" s="294"/>
      <c r="E40" s="134">
        <f>PERC_SAL_EDUCACAO</f>
        <v>2.5</v>
      </c>
      <c r="F40" s="132">
        <f>PERC_SAL_EDUCACAO%*(MOD_1_REMUNERACAO+SUBMOD_2_1_DEC_TERC_ADIC_FERIAS)</f>
        <v>68.232305555555556</v>
      </c>
    </row>
    <row r="41" spans="2:6" s="92" customFormat="1" ht="16.5" customHeight="1">
      <c r="B41" s="125" t="s">
        <v>349</v>
      </c>
      <c r="C41" s="307" t="s">
        <v>400</v>
      </c>
      <c r="D41" s="307"/>
      <c r="E41" s="129">
        <f>PERC_RAT</f>
        <v>3</v>
      </c>
      <c r="F41" s="130">
        <f>PERC_RAT%*(MOD_1_REMUNERACAO+SUBMOD_2_1_DEC_TERC_ADIC_FERIAS)</f>
        <v>81.87876666666665</v>
      </c>
    </row>
    <row r="42" spans="2:6" s="92" customFormat="1" ht="16.5" customHeight="1">
      <c r="B42" s="125" t="s">
        <v>347</v>
      </c>
      <c r="C42" s="294" t="s">
        <v>401</v>
      </c>
      <c r="D42" s="294"/>
      <c r="E42" s="131">
        <f>PERC_SESC</f>
        <v>1.5</v>
      </c>
      <c r="F42" s="132">
        <f>PERC_SESC%*(MOD_1_REMUNERACAO+SUBMOD_2_1_DEC_TERC_ADIC_FERIAS)</f>
        <v>40.939383333333325</v>
      </c>
    </row>
    <row r="43" spans="2:6" s="92" customFormat="1" ht="16.5" customHeight="1">
      <c r="B43" s="125" t="s">
        <v>345</v>
      </c>
      <c r="C43" s="307" t="s">
        <v>402</v>
      </c>
      <c r="D43" s="307"/>
      <c r="E43" s="129">
        <f>PERC_SENAC</f>
        <v>1</v>
      </c>
      <c r="F43" s="130">
        <f>PERC_SENAC%*(MOD_1_REMUNERACAO+SUBMOD_2_1_DEC_TERC_ADIC_FERIAS)</f>
        <v>27.29292222222222</v>
      </c>
    </row>
    <row r="44" spans="2:6" s="92" customFormat="1" ht="16.5" customHeight="1">
      <c r="B44" s="125" t="s">
        <v>343</v>
      </c>
      <c r="C44" s="294" t="s">
        <v>403</v>
      </c>
      <c r="D44" s="294"/>
      <c r="E44" s="134">
        <f>PERC_SEBRAE</f>
        <v>0.6</v>
      </c>
      <c r="F44" s="132">
        <f>PERC_SEBRAE%*(MOD_1_REMUNERACAO+SUBMOD_2_1_DEC_TERC_ADIC_FERIAS)</f>
        <v>16.375753333333332</v>
      </c>
    </row>
    <row r="45" spans="2:6" s="92" customFormat="1" ht="16.5" customHeight="1">
      <c r="B45" s="125" t="s">
        <v>341</v>
      </c>
      <c r="C45" s="307" t="s">
        <v>404</v>
      </c>
      <c r="D45" s="307"/>
      <c r="E45" s="129">
        <f>PERC_INCRA</f>
        <v>0.2</v>
      </c>
      <c r="F45" s="130">
        <f>PERC_INCRA%*(MOD_1_REMUNERACAO+SUBMOD_2_1_DEC_TERC_ADIC_FERIAS)</f>
        <v>5.458584444444444</v>
      </c>
    </row>
    <row r="46" spans="2:6" ht="16.5" customHeight="1">
      <c r="B46" s="125" t="s">
        <v>339</v>
      </c>
      <c r="C46" s="294" t="s">
        <v>405</v>
      </c>
      <c r="D46" s="294"/>
      <c r="E46" s="134">
        <f>PERC_FGTS</f>
        <v>8</v>
      </c>
      <c r="F46" s="132">
        <f>PERC_FGTS%*(MOD_1_REMUNERACAO+SUBMOD_2_1_DEC_TERC_ADIC_FERIAS)</f>
        <v>218.34337777777776</v>
      </c>
    </row>
    <row r="47" spans="2:6">
      <c r="B47" s="309" t="s">
        <v>406</v>
      </c>
      <c r="C47" s="309"/>
      <c r="D47" s="309"/>
      <c r="E47" s="309"/>
      <c r="F47" s="135">
        <f>SUM(F39:F46)</f>
        <v>1004.3795377777777</v>
      </c>
    </row>
    <row r="48" spans="2:6" ht="15.75" customHeight="1">
      <c r="B48" s="124" t="s">
        <v>370</v>
      </c>
      <c r="C48" s="92"/>
      <c r="D48" s="92"/>
      <c r="E48" s="92"/>
      <c r="F48" s="92"/>
    </row>
    <row r="49" spans="2:7" ht="15.75" customHeight="1">
      <c r="B49" s="114" t="s">
        <v>369</v>
      </c>
      <c r="C49" s="303" t="s">
        <v>368</v>
      </c>
      <c r="D49" s="303"/>
      <c r="E49" s="303"/>
      <c r="F49" s="125" t="s">
        <v>442</v>
      </c>
    </row>
    <row r="50" spans="2:7" ht="16.350000000000001" customHeight="1">
      <c r="B50" s="112" t="s">
        <v>333</v>
      </c>
      <c r="C50" s="307" t="s">
        <v>448</v>
      </c>
      <c r="D50" s="307"/>
      <c r="E50" s="307"/>
      <c r="F50" s="130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81" customFormat="1" ht="16.5" customHeight="1">
      <c r="B51" s="112" t="s">
        <v>331</v>
      </c>
      <c r="C51" s="294" t="s">
        <v>449</v>
      </c>
      <c r="D51" s="294"/>
      <c r="E51" s="294"/>
      <c r="F51" s="132">
        <v>416.46</v>
      </c>
      <c r="G51" s="136"/>
    </row>
    <row r="52" spans="2:7" s="81" customFormat="1">
      <c r="B52" s="112" t="s">
        <v>349</v>
      </c>
      <c r="C52" s="304" t="str">
        <f>OUTROS_BENEFICIOS_1_DESCRICAO</f>
        <v>Outros Benefícios 1 (Especificar)</v>
      </c>
      <c r="D52" s="304"/>
      <c r="E52" s="304"/>
      <c r="F52" s="130">
        <v>0</v>
      </c>
    </row>
    <row r="53" spans="2:7" s="81" customFormat="1">
      <c r="B53" s="112" t="s">
        <v>347</v>
      </c>
      <c r="C53" s="308" t="str">
        <f>OUTROS_BENEFICIOS_2_DESCRICAO</f>
        <v>Outros Benefícios 2 (Especificar)</v>
      </c>
      <c r="D53" s="308"/>
      <c r="E53" s="308"/>
      <c r="F53" s="132">
        <f>OUTROS_BENEFICIOS_2</f>
        <v>0</v>
      </c>
    </row>
    <row r="54" spans="2:7" s="81" customFormat="1">
      <c r="B54" s="112" t="s">
        <v>345</v>
      </c>
      <c r="C54" s="304" t="str">
        <f>OUTROS_BENEFICIOS_3_DESCRICAO</f>
        <v>Outros Benefícios 3 (Especificar)</v>
      </c>
      <c r="D54" s="304"/>
      <c r="E54" s="304"/>
      <c r="F54" s="130">
        <f>OUTROS_BENEFICIOS_3</f>
        <v>0</v>
      </c>
    </row>
    <row r="55" spans="2:7" s="81" customFormat="1" ht="15" customHeight="1">
      <c r="B55" s="303" t="s">
        <v>406</v>
      </c>
      <c r="C55" s="303"/>
      <c r="D55" s="303"/>
      <c r="E55" s="303"/>
      <c r="F55" s="128">
        <f>SUM(F50:F54)</f>
        <v>479.08939999999996</v>
      </c>
    </row>
    <row r="56" spans="2:7" s="81" customFormat="1">
      <c r="B56" s="124" t="s">
        <v>363</v>
      </c>
      <c r="C56" s="89"/>
      <c r="D56" s="88"/>
      <c r="E56" s="87"/>
      <c r="F56" s="87"/>
    </row>
    <row r="57" spans="2:7" s="81" customFormat="1" ht="15" customHeight="1">
      <c r="B57" s="114">
        <v>3</v>
      </c>
      <c r="C57" s="309" t="s">
        <v>362</v>
      </c>
      <c r="D57" s="309"/>
      <c r="E57" s="125" t="s">
        <v>366</v>
      </c>
      <c r="F57" s="125" t="s">
        <v>442</v>
      </c>
    </row>
    <row r="58" spans="2:7" s="81" customFormat="1">
      <c r="B58" s="114" t="s">
        <v>333</v>
      </c>
      <c r="C58" s="311" t="s">
        <v>407</v>
      </c>
      <c r="D58" s="311"/>
      <c r="E58" s="129">
        <f>PERC_AVISO_PREVIO_IND</f>
        <v>0.29105124999999998</v>
      </c>
      <c r="F58" s="130">
        <f>PERC_AVISO_PREVIO_IND%*(MOD_1_REMUNERACAO+SUBMOD_2_1_DEC_TERC_ADIC_FERIAS+AL_2_2_FGTS+SUBMOD_2_3_BENEFICIOS)</f>
        <v>9.9735259465624981</v>
      </c>
    </row>
    <row r="59" spans="2:7" s="81" customFormat="1">
      <c r="B59" s="125" t="s">
        <v>331</v>
      </c>
      <c r="C59" s="312" t="s">
        <v>409</v>
      </c>
      <c r="D59" s="312"/>
      <c r="E59" s="134">
        <f>PERC_AVISO_PREVIO_TRAB</f>
        <v>1.15572693055556</v>
      </c>
      <c r="F59" s="132">
        <f>PERC_AVISO_PREVIO_TRAB%*(MOD_1_REMUNERACAO+SUBMOD_2_1_DEC_TERC_ADIC_FERIAS+SUBMOD_2_2_GPS_FGTS+SUBMOD_2_3_BENEFICIOS)</f>
        <v>48.688015246104804</v>
      </c>
    </row>
    <row r="60" spans="2:7" s="92" customFormat="1">
      <c r="B60" s="125" t="s">
        <v>349</v>
      </c>
      <c r="C60" s="311" t="s">
        <v>411</v>
      </c>
      <c r="D60" s="311"/>
      <c r="E60" s="129">
        <f>PERC_MULTA_FGTS_AV_PREV_TRAB</f>
        <v>0.04</v>
      </c>
      <c r="F60" s="130">
        <f>PERC_MULTA_FGTS_AV_PREV_TRAB%*(MOD_1_REMUNERACAO+SUBMOD_2_1_DEC_TERC_ADIC_FERIAS)</f>
        <v>1.0917168888888888</v>
      </c>
    </row>
    <row r="61" spans="2:7" s="92" customFormat="1">
      <c r="B61" s="309" t="s">
        <v>406</v>
      </c>
      <c r="C61" s="309"/>
      <c r="D61" s="309"/>
      <c r="E61" s="309"/>
      <c r="F61" s="133">
        <f>SUM(F58:F60)</f>
        <v>59.75325808155619</v>
      </c>
    </row>
    <row r="62" spans="2:7" ht="7.5" customHeight="1">
      <c r="B62" s="137"/>
      <c r="D62" s="138"/>
      <c r="E62" s="100"/>
      <c r="F62" s="100"/>
    </row>
    <row r="63" spans="2:7" s="92" customFormat="1" ht="15.95" customHeight="1">
      <c r="B63" s="124" t="s">
        <v>356</v>
      </c>
      <c r="C63" s="89"/>
      <c r="D63" s="88"/>
      <c r="E63" s="77"/>
      <c r="F63" s="77"/>
    </row>
    <row r="64" spans="2:7" s="92" customFormat="1" ht="15.95" customHeight="1">
      <c r="B64" s="124" t="s">
        <v>355</v>
      </c>
      <c r="C64" s="89"/>
      <c r="D64" s="88"/>
      <c r="E64" s="87"/>
      <c r="F64" s="87"/>
    </row>
    <row r="65" spans="2:6" s="92" customFormat="1" ht="16.5" customHeight="1">
      <c r="B65" s="114" t="s">
        <v>354</v>
      </c>
      <c r="C65" s="303" t="s">
        <v>353</v>
      </c>
      <c r="D65" s="303"/>
      <c r="E65" s="125" t="s">
        <v>366</v>
      </c>
      <c r="F65" s="125" t="s">
        <v>442</v>
      </c>
    </row>
    <row r="66" spans="2:6" s="92" customFormat="1" ht="15.95" customHeight="1">
      <c r="B66" s="125" t="s">
        <v>333</v>
      </c>
      <c r="C66" s="307" t="s">
        <v>413</v>
      </c>
      <c r="D66" s="307"/>
      <c r="E66" s="129">
        <f>PERC_SUBSTITUTO_FERIAS</f>
        <v>8.3333333333333321</v>
      </c>
      <c r="F66" s="130">
        <f>PERC_SUBSTITUTO_FERIAS%*(MOD_1_REMUNERACAO+MOD_2_ENCARGOS_BENEFICIOS+MOD_3_PROVISAO_RESCISAO)</f>
        <v>356.04286817346292</v>
      </c>
    </row>
    <row r="67" spans="2:6" s="92" customFormat="1" ht="15.95" customHeight="1">
      <c r="B67" s="125" t="s">
        <v>331</v>
      </c>
      <c r="C67" s="294" t="s">
        <v>415</v>
      </c>
      <c r="D67" s="294"/>
      <c r="E67" s="134">
        <f>PERC_SUBSTITUTO_AUSENCIAS_LEGAIS</f>
        <v>2.2222222222222223</v>
      </c>
      <c r="F67" s="132">
        <f>PERC_SUBSTITUTO_AUSENCIAS_LEGAIS%*(MOD_1_REMUNERACAO+MOD_2_ENCARGOS_BENEFICIOS+MOD_3_PROVISAO_RESCISAO)</f>
        <v>94.944764846256803</v>
      </c>
    </row>
    <row r="68" spans="2:6" s="92" customFormat="1" ht="15.95" customHeight="1">
      <c r="B68" s="125" t="s">
        <v>349</v>
      </c>
      <c r="C68" s="307" t="s">
        <v>417</v>
      </c>
      <c r="D68" s="307"/>
      <c r="E68" s="129">
        <f>PERC_SUBSTITUTO_LICENCA_PATERNIDADE</f>
        <v>3.5673555555555549E-2</v>
      </c>
      <c r="F68" s="130">
        <f>PERC_SUBSTITUTO_LICENCA_PATERNIDADE%*(MOD_1_REMUNERACAO+MOD_2_ENCARGOS_BENEFICIOS+MOD_3_PROVISAO_RESCISAO)</f>
        <v>1.5241578045534447</v>
      </c>
    </row>
    <row r="69" spans="2:6" s="92" customFormat="1" ht="16.5" customHeight="1">
      <c r="B69" s="125" t="s">
        <v>347</v>
      </c>
      <c r="C69" s="294" t="s">
        <v>419</v>
      </c>
      <c r="D69" s="294"/>
      <c r="E69" s="134">
        <f>PERC_SUBSTITUTO_ACID_TRAB</f>
        <v>1.85302229372558E-2</v>
      </c>
      <c r="F69" s="132">
        <f>PERC_SUBSTITUTO_ACID_TRAB%*(MOD_1_REMUNERACAO+MOD_2_ENCARGOS_BENEFICIOS+MOD_3_PROVISAO_RESCISAO)</f>
        <v>0.79170644669690959</v>
      </c>
    </row>
    <row r="70" spans="2:6" s="92" customFormat="1" ht="16.5" customHeight="1">
      <c r="B70" s="125" t="s">
        <v>345</v>
      </c>
      <c r="C70" s="307" t="s">
        <v>421</v>
      </c>
      <c r="D70" s="307"/>
      <c r="E70" s="129">
        <f>PERC_SUBSTITUTO_AFAST_MATERN</f>
        <v>0.14312918399999999</v>
      </c>
      <c r="F70" s="130">
        <f>PERC_SUBSTITUTO_AFAST_MATERN%*(MOD_1_REMUNERACAO+MOD_2_ENCARGOS_BENEFICIOS+MOD_3_PROVISAO_RESCISAO)</f>
        <v>6.11521502288248</v>
      </c>
    </row>
    <row r="71" spans="2:6" s="92" customFormat="1">
      <c r="B71" s="125" t="s">
        <v>343</v>
      </c>
      <c r="C71" s="314" t="str">
        <f>OUTRAS_AUSENCIAS_DESCRICAO</f>
        <v>Outras Ausências (Especificar - em %)</v>
      </c>
      <c r="D71" s="314"/>
      <c r="E71" s="139">
        <f>PERC_SUBSTITUTO_OUTRAS_AUSENCIAS</f>
        <v>0</v>
      </c>
      <c r="F71" s="132">
        <f>PERC_SUBSTITUTO_OUTRAS_AUSENCIAS%*(MOD_1_REMUNERACAO+MOD_2_ENCARGOS_BENEFICIOS+MOD_3_PROVISAO_RESCISAO)</f>
        <v>0</v>
      </c>
    </row>
    <row r="72" spans="2:6" s="92" customFormat="1">
      <c r="B72" s="309" t="s">
        <v>406</v>
      </c>
      <c r="C72" s="309"/>
      <c r="D72" s="309"/>
      <c r="E72" s="309"/>
      <c r="F72" s="133">
        <f>SUM(F66:F71)</f>
        <v>459.41871229385259</v>
      </c>
    </row>
    <row r="73" spans="2:6" s="92" customFormat="1" ht="15" customHeight="1">
      <c r="B73" s="124" t="s">
        <v>450</v>
      </c>
      <c r="C73" s="89"/>
      <c r="D73" s="88"/>
      <c r="E73" s="87"/>
      <c r="F73" s="87"/>
    </row>
    <row r="74" spans="2:6" s="92" customFormat="1">
      <c r="B74" s="114" t="s">
        <v>336</v>
      </c>
      <c r="C74" s="309" t="s">
        <v>451</v>
      </c>
      <c r="D74" s="309"/>
      <c r="E74" s="309"/>
      <c r="F74" s="125" t="s">
        <v>442</v>
      </c>
    </row>
    <row r="75" spans="2:6" s="92" customFormat="1" ht="16.5" customHeight="1">
      <c r="B75" s="114" t="s">
        <v>333</v>
      </c>
      <c r="C75" s="307" t="s">
        <v>452</v>
      </c>
      <c r="D75" s="307"/>
      <c r="E75" s="307"/>
      <c r="F75" s="126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92" customFormat="1">
      <c r="B76" s="309" t="s">
        <v>406</v>
      </c>
      <c r="C76" s="309"/>
      <c r="D76" s="309"/>
      <c r="E76" s="309"/>
      <c r="F76" s="133">
        <f>SUM(F75)</f>
        <v>0</v>
      </c>
    </row>
    <row r="77" spans="2:6" ht="7.5" customHeight="1">
      <c r="B77" s="137"/>
      <c r="D77" s="138"/>
      <c r="E77" s="100"/>
      <c r="F77" s="100"/>
    </row>
    <row r="78" spans="2:6">
      <c r="B78" s="124" t="s">
        <v>453</v>
      </c>
      <c r="C78" s="89"/>
      <c r="D78" s="89"/>
      <c r="E78" s="87"/>
      <c r="F78" s="87"/>
    </row>
    <row r="79" spans="2:6" ht="15.75" customHeight="1">
      <c r="B79" s="140">
        <v>5</v>
      </c>
      <c r="C79" s="315" t="s">
        <v>454</v>
      </c>
      <c r="D79" s="315"/>
      <c r="E79" s="315"/>
      <c r="F79" s="141" t="s">
        <v>442</v>
      </c>
    </row>
    <row r="80" spans="2:6" ht="16.5" customHeight="1">
      <c r="B80" s="142" t="s">
        <v>333</v>
      </c>
      <c r="C80" s="316" t="s">
        <v>455</v>
      </c>
      <c r="D80" s="316"/>
      <c r="E80" s="316"/>
      <c r="F80" s="143">
        <f>[1]Uniforme!B9</f>
        <v>115.05</v>
      </c>
    </row>
    <row r="81" spans="2:6" ht="16.5" customHeight="1">
      <c r="B81" s="142" t="s">
        <v>331</v>
      </c>
      <c r="C81" s="313" t="s">
        <v>497</v>
      </c>
      <c r="D81" s="313"/>
      <c r="E81" s="313"/>
      <c r="F81" s="144">
        <v>171.6</v>
      </c>
    </row>
    <row r="82" spans="2:6" ht="16.5" customHeight="1">
      <c r="B82" s="142" t="s">
        <v>349</v>
      </c>
      <c r="C82" s="316" t="s">
        <v>498</v>
      </c>
      <c r="D82" s="316"/>
      <c r="E82" s="316"/>
      <c r="F82" s="143">
        <v>235.4</v>
      </c>
    </row>
    <row r="83" spans="2:6" ht="16.350000000000001" customHeight="1">
      <c r="B83" s="142" t="s">
        <v>347</v>
      </c>
      <c r="C83" s="317" t="s">
        <v>458</v>
      </c>
      <c r="D83" s="317"/>
      <c r="E83" s="317"/>
      <c r="F83" s="144">
        <v>0</v>
      </c>
    </row>
    <row r="84" spans="2:6" ht="16.5" customHeight="1">
      <c r="B84" s="315" t="s">
        <v>406</v>
      </c>
      <c r="C84" s="315"/>
      <c r="D84" s="315"/>
      <c r="E84" s="315"/>
      <c r="F84" s="145">
        <f>SUM(F80:F83)</f>
        <v>522.04999999999995</v>
      </c>
    </row>
    <row r="85" spans="2:6" ht="7.5" customHeight="1">
      <c r="B85" s="137"/>
      <c r="D85" s="138"/>
      <c r="E85" s="100"/>
      <c r="F85" s="100"/>
    </row>
    <row r="86" spans="2:6" ht="15" customHeight="1">
      <c r="B86" s="318" t="s">
        <v>459</v>
      </c>
      <c r="C86" s="318"/>
      <c r="D86" s="318"/>
      <c r="E86" s="318"/>
      <c r="F86" s="318"/>
    </row>
    <row r="87" spans="2:6">
      <c r="B87" s="114">
        <v>6</v>
      </c>
      <c r="C87" s="309" t="s">
        <v>460</v>
      </c>
      <c r="D87" s="309"/>
      <c r="E87" s="125" t="s">
        <v>366</v>
      </c>
      <c r="F87" s="125" t="s">
        <v>442</v>
      </c>
    </row>
    <row r="88" spans="2:6" ht="16.5" customHeight="1">
      <c r="B88" s="114" t="s">
        <v>333</v>
      </c>
      <c r="C88" s="307" t="s">
        <v>461</v>
      </c>
      <c r="D88" s="307"/>
      <c r="E88" s="146">
        <f>PERC_CUSTOS_INDIRETOS</f>
        <v>5.1533333333333298</v>
      </c>
      <c r="F88" s="130">
        <f>PERC_CUSTOS_INDIRETOS%*(MOD_1_REMUNERACAO+MOD_2_ENCARGOS_BENEFICIOS+MOD_3_PROVISAO_RESCISAO+MOD_4_CUSTO_REPOSICAO+MOD_5_INSUMOS)</f>
        <v>270.75526398534589</v>
      </c>
    </row>
    <row r="89" spans="2:6" ht="15.75" customHeight="1">
      <c r="B89" s="125" t="s">
        <v>331</v>
      </c>
      <c r="C89" s="294" t="s">
        <v>462</v>
      </c>
      <c r="D89" s="294"/>
      <c r="E89" s="147">
        <f>PERC_LUCRO</f>
        <v>5.0466666666666704</v>
      </c>
      <c r="F89" s="132">
        <f>PERC_LUCRO%*(MOD_1_REMUNERACAO+MOD_2_ENCARGOS_BENEFICIOS+MOD_3_PROVISAO_RESCISAO+MOD_4_CUSTO_REPOSICAO+MOD_5_INSUMOS+AL_6_A_CUSTOS_INDIRETOS)</f>
        <v>278.8151309687396</v>
      </c>
    </row>
    <row r="90" spans="2:6" ht="16.5" customHeight="1">
      <c r="B90" s="125" t="s">
        <v>349</v>
      </c>
      <c r="C90" s="307" t="s">
        <v>463</v>
      </c>
      <c r="D90" s="307"/>
      <c r="E90" s="148">
        <f>SUM(E91:E93)</f>
        <v>0.14250000000000002</v>
      </c>
      <c r="F90" s="130">
        <f>SUM(F91:F93)</f>
        <v>880.16390218364143</v>
      </c>
    </row>
    <row r="91" spans="2:6" ht="15.75" customHeight="1">
      <c r="B91" s="149" t="s">
        <v>464</v>
      </c>
      <c r="C91" s="319" t="s">
        <v>16</v>
      </c>
      <c r="D91" s="319"/>
      <c r="E91" s="150">
        <v>1.6500000000000001E-2</v>
      </c>
      <c r="F91" s="151">
        <f>(($F$30+$F$36+$F$47+$F$55+$F$61+$F$72+$F$76+$F$84+$F$88+$F$89)*E91)/(1-E91)</f>
        <v>97.36515827954922</v>
      </c>
    </row>
    <row r="92" spans="2:6" ht="16.5" customHeight="1">
      <c r="B92" s="149" t="s">
        <v>465</v>
      </c>
      <c r="C92" s="320" t="s">
        <v>466</v>
      </c>
      <c r="D92" s="320"/>
      <c r="E92" s="152">
        <v>7.5999999999999998E-2</v>
      </c>
      <c r="F92" s="153">
        <f>(($F$30+$F$36+$F$47+$F$55+$F$61+$F$72+$F$76+$F$84+$F$88+$F$89)*E92)/(1-E92)</f>
        <v>477.34855836043459</v>
      </c>
    </row>
    <row r="93" spans="2:6" s="154" customFormat="1" ht="16.5" customHeight="1">
      <c r="B93" s="149" t="s">
        <v>467</v>
      </c>
      <c r="C93" s="319" t="s">
        <v>468</v>
      </c>
      <c r="D93" s="319"/>
      <c r="E93" s="150">
        <v>0.05</v>
      </c>
      <c r="F93" s="151">
        <f>(($F$30+$F$36+$F$47+$F$55+$F$61+$F$72+$F$76+$F$84+$F$88+$F$89)*E93)/(1-E93)</f>
        <v>305.45018554365765</v>
      </c>
    </row>
    <row r="94" spans="2:6" s="154" customFormat="1">
      <c r="B94" s="309" t="s">
        <v>406</v>
      </c>
      <c r="C94" s="309"/>
      <c r="D94" s="309"/>
      <c r="E94" s="309"/>
      <c r="F94" s="155">
        <f>AL_6_A_CUSTOS_INDIRETOS+AL_6_B_LUCRO+AL_6_C_TRIBUTOS</f>
        <v>1429.734297137727</v>
      </c>
    </row>
    <row r="95" spans="2:6" s="154" customFormat="1" ht="20.25">
      <c r="B95" s="156" t="s">
        <v>469</v>
      </c>
      <c r="C95" s="157"/>
      <c r="D95" s="157"/>
      <c r="E95" s="157"/>
      <c r="F95" s="158"/>
    </row>
    <row r="96" spans="2:6" s="159" customFormat="1" ht="16.5" customHeight="1">
      <c r="B96" s="125" t="s">
        <v>470</v>
      </c>
      <c r="C96" s="303" t="s">
        <v>471</v>
      </c>
      <c r="D96" s="303"/>
      <c r="E96" s="303"/>
      <c r="F96" s="125" t="s">
        <v>472</v>
      </c>
    </row>
    <row r="97" spans="2:6" s="154" customFormat="1" ht="16.5" customHeight="1">
      <c r="B97" s="114">
        <v>1</v>
      </c>
      <c r="C97" s="307" t="s">
        <v>382</v>
      </c>
      <c r="D97" s="307"/>
      <c r="E97" s="307"/>
      <c r="F97" s="130">
        <f>MOD_1_REMUNERACAO</f>
        <v>2456.3629999999998</v>
      </c>
    </row>
    <row r="98" spans="2:6" s="160" customFormat="1" ht="16.5" customHeight="1">
      <c r="B98" s="125">
        <v>2</v>
      </c>
      <c r="C98" s="294" t="s">
        <v>473</v>
      </c>
      <c r="D98" s="294"/>
      <c r="E98" s="294"/>
      <c r="F98" s="132">
        <f>MOD_2_ENCARGOS_BENEFICIOS</f>
        <v>1756.3981599999997</v>
      </c>
    </row>
    <row r="99" spans="2:6" s="160" customFormat="1" ht="16.5" customHeight="1">
      <c r="B99" s="125">
        <v>3</v>
      </c>
      <c r="C99" s="307" t="s">
        <v>362</v>
      </c>
      <c r="D99" s="307"/>
      <c r="E99" s="307"/>
      <c r="F99" s="130">
        <f>MOD_3_PROVISAO_RESCISAO</f>
        <v>59.75325808155619</v>
      </c>
    </row>
    <row r="100" spans="2:6" s="160" customFormat="1" ht="16.5" customHeight="1">
      <c r="B100" s="125">
        <v>4</v>
      </c>
      <c r="C100" s="294" t="s">
        <v>474</v>
      </c>
      <c r="D100" s="294"/>
      <c r="E100" s="294"/>
      <c r="F100" s="132">
        <f>MOD_4_CUSTO_REPOSICAO</f>
        <v>459.41871229385259</v>
      </c>
    </row>
    <row r="101" spans="2:6" s="160" customFormat="1" ht="16.5" customHeight="1">
      <c r="B101" s="125">
        <v>5</v>
      </c>
      <c r="C101" s="307" t="s">
        <v>454</v>
      </c>
      <c r="D101" s="307"/>
      <c r="E101" s="307"/>
      <c r="F101" s="130">
        <f>MOD_5_INSUMOS</f>
        <v>522.04999999999995</v>
      </c>
    </row>
    <row r="102" spans="2:6" s="160" customFormat="1" ht="16.5" customHeight="1">
      <c r="B102" s="125">
        <v>6</v>
      </c>
      <c r="C102" s="294" t="s">
        <v>460</v>
      </c>
      <c r="D102" s="294"/>
      <c r="E102" s="294"/>
      <c r="F102" s="132">
        <f>MOD_6_CUSTOS_IND_LUCRO_TRIB</f>
        <v>1429.734297137727</v>
      </c>
    </row>
    <row r="103" spans="2:6" ht="16.5" customHeight="1">
      <c r="B103" s="321" t="s">
        <v>475</v>
      </c>
      <c r="C103" s="321"/>
      <c r="D103" s="321"/>
      <c r="E103" s="321"/>
      <c r="F103" s="161">
        <f>SUM(F97:F102)</f>
        <v>6683.7174275131365</v>
      </c>
    </row>
    <row r="104" spans="2:6" ht="16.5" customHeight="1">
      <c r="B104" s="322" t="s">
        <v>476</v>
      </c>
      <c r="C104" s="322"/>
      <c r="D104" s="322"/>
      <c r="E104" s="322"/>
      <c r="F104" s="162">
        <f>VALOR_TOTAL_EMPREGADO*EMPREG_POR_POSTO</f>
        <v>0</v>
      </c>
    </row>
    <row r="105" spans="2:6" ht="16.5" customHeight="1">
      <c r="B105" s="322" t="s">
        <v>477</v>
      </c>
      <c r="C105" s="322"/>
      <c r="D105" s="322"/>
      <c r="E105" s="322"/>
      <c r="F105" s="162">
        <f>VALOR_TOTAL_EMPREGADO*EMPREG_POR_POSTO*QTDE_POSTOS</f>
        <v>0</v>
      </c>
    </row>
  </sheetData>
  <sheetProtection sheet="1" objects="1" scenarios="1"/>
  <mergeCells count="94"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45D13-5EC3-4901-8C9E-D20B46563F90}">
  <dimension ref="A1:AMJ106"/>
  <sheetViews>
    <sheetView showGridLines="0" zoomScale="140" zoomScaleNormal="140" workbookViewId="0">
      <selection activeCell="F104" sqref="F104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customFormat="1" ht="20.25">
      <c r="B1" s="323" t="s">
        <v>59</v>
      </c>
      <c r="C1" s="324"/>
      <c r="D1" s="324"/>
      <c r="E1" s="324"/>
      <c r="F1" s="325"/>
    </row>
    <row r="2" spans="2:6" customFormat="1" ht="20.25">
      <c r="B2" s="286" t="s">
        <v>423</v>
      </c>
      <c r="C2" s="286"/>
      <c r="D2" s="286"/>
      <c r="E2" s="108" t="s">
        <v>424</v>
      </c>
      <c r="F2" s="163" t="str">
        <f>DATA_DO_ORCAMENTO_ESTIMATIVO</f>
        <v>XX/XX/20XX</v>
      </c>
    </row>
    <row r="3" spans="2:6" s="92" customFormat="1" ht="25.5">
      <c r="B3" s="287" t="s">
        <v>425</v>
      </c>
      <c r="C3" s="287"/>
      <c r="D3" s="287"/>
      <c r="E3" s="287"/>
      <c r="F3" s="287"/>
    </row>
    <row r="4" spans="2:6" s="92" customFormat="1" ht="15.95" customHeight="1">
      <c r="B4" s="288" t="s">
        <v>1</v>
      </c>
      <c r="C4" s="288"/>
      <c r="D4" s="288"/>
      <c r="E4" s="288"/>
      <c r="F4" s="288"/>
    </row>
    <row r="5" spans="2:6" s="92" customFormat="1" ht="15.95" customHeight="1">
      <c r="B5" s="284" t="s">
        <v>2</v>
      </c>
      <c r="C5" s="284"/>
      <c r="D5" s="289" t="s">
        <v>20</v>
      </c>
      <c r="E5" s="289"/>
      <c r="F5" s="289"/>
    </row>
    <row r="6" spans="2:6" s="92" customFormat="1" ht="15.75" customHeight="1">
      <c r="B6" s="290" t="s">
        <v>3</v>
      </c>
      <c r="C6" s="290"/>
      <c r="D6" s="291" t="str">
        <f>MODALIDADE_DE_LICITACAO</f>
        <v>Pregão nº</v>
      </c>
      <c r="E6" s="291"/>
      <c r="F6" s="111" t="s">
        <v>513</v>
      </c>
    </row>
    <row r="7" spans="2:6" s="92" customFormat="1" ht="15.75" customHeight="1">
      <c r="B7" s="292" t="s">
        <v>426</v>
      </c>
      <c r="C7" s="292"/>
      <c r="D7" s="292"/>
      <c r="E7" s="292"/>
      <c r="F7" s="292"/>
    </row>
    <row r="8" spans="2:6" s="92" customFormat="1" ht="18" customHeight="1">
      <c r="B8" s="164" t="s">
        <v>333</v>
      </c>
      <c r="C8" s="284" t="s">
        <v>427</v>
      </c>
      <c r="D8" s="284"/>
      <c r="E8" s="284"/>
      <c r="F8" s="165" t="str">
        <f>DATA_APRESENTACAO_PROPOSTA</f>
        <v>XX/XX/20XX</v>
      </c>
    </row>
    <row r="9" spans="2:6" s="92" customFormat="1" ht="15.95" customHeight="1">
      <c r="B9" s="166" t="s">
        <v>331</v>
      </c>
      <c r="C9" s="115" t="s">
        <v>428</v>
      </c>
      <c r="D9" s="293" t="s">
        <v>484</v>
      </c>
      <c r="E9" s="293"/>
      <c r="F9" s="293"/>
    </row>
    <row r="10" spans="2:6" s="92" customFormat="1" ht="18.75" customHeight="1">
      <c r="B10" s="164" t="s">
        <v>349</v>
      </c>
      <c r="C10" s="284" t="s">
        <v>429</v>
      </c>
      <c r="D10" s="284"/>
      <c r="E10" s="284"/>
      <c r="F10" s="165" t="s">
        <v>430</v>
      </c>
    </row>
    <row r="11" spans="2:6" s="92" customFormat="1" ht="15.95" customHeight="1">
      <c r="B11" s="166" t="s">
        <v>347</v>
      </c>
      <c r="C11" s="295" t="s">
        <v>431</v>
      </c>
      <c r="D11" s="295"/>
      <c r="E11" s="295"/>
      <c r="F11" s="116">
        <f>NUMERO_MESES_EXEC_CONTRATUAL</f>
        <v>12</v>
      </c>
    </row>
    <row r="12" spans="2:6" s="92" customFormat="1">
      <c r="B12" s="166" t="s">
        <v>345</v>
      </c>
      <c r="C12" s="296" t="s">
        <v>432</v>
      </c>
      <c r="D12" s="296"/>
      <c r="E12" s="296"/>
      <c r="F12" s="110">
        <v>1</v>
      </c>
    </row>
    <row r="13" spans="2:6" s="119" customFormat="1" ht="15" customHeight="1">
      <c r="B13" s="117" t="s">
        <v>433</v>
      </c>
      <c r="C13" s="118"/>
      <c r="D13" s="118"/>
      <c r="E13" s="118"/>
      <c r="F13" s="118"/>
    </row>
    <row r="14" spans="2:6" s="92" customFormat="1">
      <c r="B14" s="164">
        <v>1</v>
      </c>
      <c r="C14" s="284" t="s">
        <v>434</v>
      </c>
      <c r="D14" s="284"/>
      <c r="E14" s="297" t="s">
        <v>435</v>
      </c>
      <c r="F14" s="297"/>
    </row>
    <row r="15" spans="2:6" s="92" customFormat="1">
      <c r="B15" s="164">
        <v>2</v>
      </c>
      <c r="C15" s="120" t="s">
        <v>436</v>
      </c>
      <c r="D15" s="298" t="s">
        <v>437</v>
      </c>
      <c r="E15" s="298"/>
      <c r="F15" s="298"/>
    </row>
    <row r="16" spans="2:6" s="92" customFormat="1" ht="15" customHeight="1">
      <c r="B16" s="164">
        <v>3</v>
      </c>
      <c r="C16" s="121" t="s">
        <v>438</v>
      </c>
      <c r="D16" s="289" t="str">
        <f>IF(CATEGORIA_PROFISSIONAL="","",CATEGORIA_PROFISSIONAL)</f>
        <v/>
      </c>
      <c r="E16" s="289"/>
      <c r="F16" s="289"/>
    </row>
    <row r="17" spans="2:6" s="92" customFormat="1" ht="15" customHeight="1">
      <c r="B17" s="164">
        <v>4</v>
      </c>
      <c r="C17" s="290" t="s">
        <v>439</v>
      </c>
      <c r="D17" s="290"/>
      <c r="E17" s="290"/>
      <c r="F17" s="167">
        <v>44774</v>
      </c>
    </row>
    <row r="18" spans="2:6" s="123" customFormat="1" ht="20.25" customHeight="1">
      <c r="B18" s="299" t="s">
        <v>440</v>
      </c>
      <c r="C18" s="299"/>
      <c r="D18" s="299"/>
      <c r="E18" s="299"/>
      <c r="F18" s="299"/>
    </row>
    <row r="19" spans="2:6" customFormat="1">
      <c r="B19" s="329" t="s">
        <v>441</v>
      </c>
      <c r="C19" s="330"/>
      <c r="D19" s="330"/>
      <c r="E19" s="330"/>
      <c r="F19" s="331"/>
    </row>
    <row r="20" spans="2:6" customFormat="1">
      <c r="B20" s="124" t="s">
        <v>383</v>
      </c>
      <c r="C20" s="77"/>
      <c r="D20" s="77"/>
      <c r="E20" s="100"/>
      <c r="F20" s="100"/>
    </row>
    <row r="21" spans="2:6" customFormat="1" ht="16.5" customHeight="1">
      <c r="B21" s="166">
        <v>1</v>
      </c>
      <c r="C21" s="332" t="s">
        <v>382</v>
      </c>
      <c r="D21" s="333"/>
      <c r="E21" s="334"/>
      <c r="F21" s="168" t="s">
        <v>442</v>
      </c>
    </row>
    <row r="22" spans="2:6" customFormat="1" ht="16.350000000000001" customHeight="1">
      <c r="B22" s="166" t="s">
        <v>333</v>
      </c>
      <c r="C22" s="335" t="s">
        <v>443</v>
      </c>
      <c r="D22" s="336"/>
      <c r="E22" s="337"/>
      <c r="F22" s="169"/>
    </row>
    <row r="23" spans="2:6" customFormat="1" ht="16.5" customHeight="1">
      <c r="B23" s="166" t="s">
        <v>331</v>
      </c>
      <c r="C23" s="338" t="s">
        <v>444</v>
      </c>
      <c r="D23" s="339"/>
      <c r="E23" s="340"/>
      <c r="F23" s="170"/>
    </row>
    <row r="24" spans="2:6" customFormat="1" ht="15.75" customHeight="1">
      <c r="B24" s="166" t="s">
        <v>349</v>
      </c>
      <c r="C24" s="341" t="s">
        <v>445</v>
      </c>
      <c r="D24" s="342"/>
      <c r="E24" s="343"/>
      <c r="F24" s="169"/>
    </row>
    <row r="25" spans="2:6" customFormat="1" ht="15.75" customHeight="1">
      <c r="B25" s="166" t="s">
        <v>347</v>
      </c>
      <c r="C25" s="338" t="s">
        <v>446</v>
      </c>
      <c r="D25" s="339"/>
      <c r="E25" s="340"/>
      <c r="F25" s="170"/>
    </row>
    <row r="26" spans="2:6" customFormat="1" ht="15.75" customHeight="1">
      <c r="B26" s="166" t="s">
        <v>345</v>
      </c>
      <c r="C26" s="344" t="s">
        <v>447</v>
      </c>
      <c r="D26" s="345"/>
      <c r="E26" s="346"/>
      <c r="F26" s="169"/>
    </row>
    <row r="27" spans="2:6" customFormat="1">
      <c r="B27" s="166" t="s">
        <v>343</v>
      </c>
      <c r="C27" s="326" t="str">
        <f>OUTROS_REMUNERACAO_1_DESCRICAO</f>
        <v>Outras Remunerações 1 (Especificar)</v>
      </c>
      <c r="D27" s="327"/>
      <c r="E27" s="328"/>
      <c r="F27" s="170"/>
    </row>
    <row r="28" spans="2:6" customFormat="1">
      <c r="B28" s="166" t="s">
        <v>341</v>
      </c>
      <c r="C28" s="335" t="str">
        <f>OUTROS_REMUNERACAO_2_DESCRICAO</f>
        <v>Outras Remunerações 2 (Especificar)</v>
      </c>
      <c r="D28" s="336"/>
      <c r="E28" s="337"/>
      <c r="F28" s="169"/>
    </row>
    <row r="29" spans="2:6" customFormat="1">
      <c r="B29" s="166" t="s">
        <v>339</v>
      </c>
      <c r="C29" s="326" t="str">
        <f>OUTROS_REMUNERACAO_3_DESCRICAO</f>
        <v>Outras Remunerações 3 (Especificar)</v>
      </c>
      <c r="D29" s="327"/>
      <c r="E29" s="328"/>
      <c r="F29" s="170"/>
    </row>
    <row r="30" spans="2:6" customFormat="1" ht="16.5" customHeight="1">
      <c r="B30" s="347" t="s">
        <v>406</v>
      </c>
      <c r="C30" s="347"/>
      <c r="D30" s="347"/>
      <c r="E30" s="347"/>
      <c r="F30" s="171"/>
    </row>
    <row r="31" spans="2:6" customFormat="1">
      <c r="B31" s="124" t="s">
        <v>386</v>
      </c>
      <c r="C31" s="77"/>
      <c r="D31" s="77"/>
      <c r="E31" s="102"/>
      <c r="F31" s="102"/>
    </row>
    <row r="32" spans="2:6" customFormat="1">
      <c r="B32" s="124" t="s">
        <v>387</v>
      </c>
      <c r="C32" s="89"/>
      <c r="D32" s="88"/>
      <c r="E32" s="87"/>
      <c r="F32" s="87"/>
    </row>
    <row r="33" spans="2:6" customFormat="1">
      <c r="B33" s="166" t="s">
        <v>388</v>
      </c>
      <c r="C33" s="348" t="s">
        <v>389</v>
      </c>
      <c r="D33" s="348"/>
      <c r="E33" s="168" t="s">
        <v>366</v>
      </c>
      <c r="F33" s="168" t="s">
        <v>442</v>
      </c>
    </row>
    <row r="34" spans="2:6" customFormat="1" ht="16.5" customHeight="1">
      <c r="B34" s="166" t="s">
        <v>333</v>
      </c>
      <c r="C34" s="307" t="s">
        <v>391</v>
      </c>
      <c r="D34" s="307"/>
      <c r="E34" s="129">
        <f>PERC_DEC_TERC</f>
        <v>8.3333333333333304</v>
      </c>
      <c r="F34" s="172"/>
    </row>
    <row r="35" spans="2:6" s="77" customFormat="1" ht="16.5" customHeight="1">
      <c r="B35" s="168" t="s">
        <v>331</v>
      </c>
      <c r="C35" s="294" t="s">
        <v>393</v>
      </c>
      <c r="D35" s="294"/>
      <c r="E35" s="131">
        <f>PERC_ADIC_FERIAS</f>
        <v>2.7777777777777799</v>
      </c>
      <c r="F35" s="173"/>
    </row>
    <row r="36" spans="2:6" s="81" customFormat="1">
      <c r="B36" s="348" t="s">
        <v>406</v>
      </c>
      <c r="C36" s="348"/>
      <c r="D36" s="348"/>
      <c r="E36" s="348"/>
      <c r="F36" s="174"/>
    </row>
    <row r="37" spans="2:6" s="81" customFormat="1" ht="31.5" customHeight="1">
      <c r="B37" s="305" t="s">
        <v>395</v>
      </c>
      <c r="C37" s="305"/>
      <c r="D37" s="305"/>
      <c r="E37" s="305"/>
      <c r="F37" s="305"/>
    </row>
    <row r="38" spans="2:6" s="81" customFormat="1" ht="34.5" customHeight="1">
      <c r="B38" s="166" t="s">
        <v>396</v>
      </c>
      <c r="C38" s="349" t="s">
        <v>397</v>
      </c>
      <c r="D38" s="349"/>
      <c r="E38" s="168" t="s">
        <v>366</v>
      </c>
      <c r="F38" s="168" t="s">
        <v>442</v>
      </c>
    </row>
    <row r="39" spans="2:6" customFormat="1" ht="16.5" customHeight="1">
      <c r="B39" s="166" t="s">
        <v>333</v>
      </c>
      <c r="C39" s="307" t="s">
        <v>398</v>
      </c>
      <c r="D39" s="307"/>
      <c r="E39" s="175">
        <f>PERC_INSS</f>
        <v>20</v>
      </c>
      <c r="F39" s="172"/>
    </row>
    <row r="40" spans="2:6" s="92" customFormat="1" ht="16.5" customHeight="1">
      <c r="B40" s="168" t="s">
        <v>331</v>
      </c>
      <c r="C40" s="294" t="s">
        <v>399</v>
      </c>
      <c r="D40" s="294"/>
      <c r="E40" s="176">
        <f>PERC_SAL_EDUCACAO</f>
        <v>2.5</v>
      </c>
      <c r="F40" s="173"/>
    </row>
    <row r="41" spans="2:6" s="92" customFormat="1" ht="16.5" customHeight="1">
      <c r="B41" s="168" t="s">
        <v>349</v>
      </c>
      <c r="C41" s="307" t="s">
        <v>400</v>
      </c>
      <c r="D41" s="307"/>
      <c r="E41" s="175">
        <f>PERC_RAT</f>
        <v>3</v>
      </c>
      <c r="F41" s="172"/>
    </row>
    <row r="42" spans="2:6" s="92" customFormat="1" ht="16.5" customHeight="1">
      <c r="B42" s="168" t="s">
        <v>347</v>
      </c>
      <c r="C42" s="294" t="s">
        <v>401</v>
      </c>
      <c r="D42" s="294"/>
      <c r="E42" s="177">
        <f>PERC_SESC</f>
        <v>1.5</v>
      </c>
      <c r="F42" s="173"/>
    </row>
    <row r="43" spans="2:6" s="92" customFormat="1" ht="16.5" customHeight="1">
      <c r="B43" s="168" t="s">
        <v>345</v>
      </c>
      <c r="C43" s="307" t="s">
        <v>402</v>
      </c>
      <c r="D43" s="307"/>
      <c r="E43" s="175">
        <f>PERC_SENAC</f>
        <v>1</v>
      </c>
      <c r="F43" s="172"/>
    </row>
    <row r="44" spans="2:6" s="92" customFormat="1" ht="16.5" customHeight="1">
      <c r="B44" s="168" t="s">
        <v>343</v>
      </c>
      <c r="C44" s="294" t="s">
        <v>403</v>
      </c>
      <c r="D44" s="294"/>
      <c r="E44" s="176">
        <f>PERC_SEBRAE</f>
        <v>0.6</v>
      </c>
      <c r="F44" s="173"/>
    </row>
    <row r="45" spans="2:6" s="92" customFormat="1" ht="16.5" customHeight="1">
      <c r="B45" s="168" t="s">
        <v>341</v>
      </c>
      <c r="C45" s="307" t="s">
        <v>404</v>
      </c>
      <c r="D45" s="307"/>
      <c r="E45" s="175">
        <f>PERC_INCRA</f>
        <v>0.2</v>
      </c>
      <c r="F45" s="172"/>
    </row>
    <row r="46" spans="2:6" customFormat="1" ht="16.5" customHeight="1">
      <c r="B46" s="168" t="s">
        <v>339</v>
      </c>
      <c r="C46" s="294" t="s">
        <v>405</v>
      </c>
      <c r="D46" s="294"/>
      <c r="E46" s="176">
        <f>PERC_FGTS</f>
        <v>8</v>
      </c>
      <c r="F46" s="173"/>
    </row>
    <row r="47" spans="2:6" customFormat="1">
      <c r="B47" s="348" t="s">
        <v>406</v>
      </c>
      <c r="C47" s="348"/>
      <c r="D47" s="348"/>
      <c r="E47" s="348"/>
      <c r="F47" s="178"/>
    </row>
    <row r="48" spans="2:6" customFormat="1" ht="15.75" customHeight="1">
      <c r="B48" s="124" t="s">
        <v>370</v>
      </c>
      <c r="C48" s="92"/>
      <c r="D48" s="92"/>
      <c r="E48" s="92"/>
      <c r="F48" s="92"/>
    </row>
    <row r="49" spans="2:7" customFormat="1" ht="15.75" customHeight="1">
      <c r="B49" s="166" t="s">
        <v>369</v>
      </c>
      <c r="C49" s="347" t="s">
        <v>368</v>
      </c>
      <c r="D49" s="347"/>
      <c r="E49" s="347"/>
      <c r="F49" s="168" t="s">
        <v>442</v>
      </c>
      <c r="G49" s="77"/>
    </row>
    <row r="50" spans="2:7" customFormat="1" ht="16.350000000000001" customHeight="1">
      <c r="B50" s="164" t="s">
        <v>333</v>
      </c>
      <c r="C50" s="307" t="s">
        <v>448</v>
      </c>
      <c r="D50" s="307"/>
      <c r="E50" s="307"/>
      <c r="F50" s="172"/>
      <c r="G50" s="77"/>
    </row>
    <row r="51" spans="2:7" s="81" customFormat="1" ht="16.5" customHeight="1">
      <c r="B51" s="164" t="s">
        <v>331</v>
      </c>
      <c r="C51" s="294" t="s">
        <v>449</v>
      </c>
      <c r="D51" s="294"/>
      <c r="E51" s="294"/>
      <c r="F51" s="173"/>
      <c r="G51" s="136"/>
    </row>
    <row r="52" spans="2:7" s="81" customFormat="1">
      <c r="B52" s="164" t="s">
        <v>349</v>
      </c>
      <c r="C52" s="304" t="str">
        <f>OUTROS_BENEFICIOS_1_DESCRICAO</f>
        <v>Outros Benefícios 1 (Especificar)</v>
      </c>
      <c r="D52" s="304"/>
      <c r="E52" s="304"/>
      <c r="F52" s="172"/>
    </row>
    <row r="53" spans="2:7" s="81" customFormat="1">
      <c r="B53" s="164" t="s">
        <v>347</v>
      </c>
      <c r="C53" s="308" t="str">
        <f>OUTROS_BENEFICIOS_2_DESCRICAO</f>
        <v>Outros Benefícios 2 (Especificar)</v>
      </c>
      <c r="D53" s="308"/>
      <c r="E53" s="308"/>
      <c r="F53" s="173"/>
    </row>
    <row r="54" spans="2:7" s="81" customFormat="1">
      <c r="B54" s="164" t="s">
        <v>345</v>
      </c>
      <c r="C54" s="304" t="str">
        <f>OUTROS_BENEFICIOS_3_DESCRICAO</f>
        <v>Outros Benefícios 3 (Especificar)</v>
      </c>
      <c r="D54" s="304"/>
      <c r="E54" s="304"/>
      <c r="F54" s="172"/>
    </row>
    <row r="55" spans="2:7" s="81" customFormat="1" ht="15" customHeight="1">
      <c r="B55" s="347" t="s">
        <v>406</v>
      </c>
      <c r="C55" s="347"/>
      <c r="D55" s="347"/>
      <c r="E55" s="347"/>
      <c r="F55" s="171"/>
    </row>
    <row r="56" spans="2:7" s="81" customFormat="1">
      <c r="B56" s="124" t="s">
        <v>363</v>
      </c>
      <c r="C56" s="89"/>
      <c r="D56" s="88"/>
      <c r="E56" s="87"/>
      <c r="F56" s="87"/>
    </row>
    <row r="57" spans="2:7" s="81" customFormat="1" ht="15" customHeight="1">
      <c r="B57" s="166">
        <v>3</v>
      </c>
      <c r="C57" s="348" t="s">
        <v>362</v>
      </c>
      <c r="D57" s="348"/>
      <c r="E57" s="168" t="s">
        <v>366</v>
      </c>
      <c r="F57" s="168" t="s">
        <v>442</v>
      </c>
    </row>
    <row r="58" spans="2:7" s="81" customFormat="1">
      <c r="B58" s="166" t="s">
        <v>333</v>
      </c>
      <c r="C58" s="311" t="s">
        <v>407</v>
      </c>
      <c r="D58" s="311"/>
      <c r="E58" s="175">
        <f>PERC_AVISO_PREVIO_IND</f>
        <v>0.29105124999999998</v>
      </c>
      <c r="F58" s="172"/>
    </row>
    <row r="59" spans="2:7" s="81" customFormat="1">
      <c r="B59" s="168" t="s">
        <v>331</v>
      </c>
      <c r="C59" s="312" t="s">
        <v>409</v>
      </c>
      <c r="D59" s="312"/>
      <c r="E59" s="176">
        <f>PERC_AVISO_PREVIO_TRAB</f>
        <v>1.15572693055556</v>
      </c>
      <c r="F59" s="173"/>
    </row>
    <row r="60" spans="2:7" s="92" customFormat="1">
      <c r="B60" s="168" t="s">
        <v>349</v>
      </c>
      <c r="C60" s="311" t="s">
        <v>411</v>
      </c>
      <c r="D60" s="311"/>
      <c r="E60" s="175">
        <f>PERC_MULTA_FGTS_AV_PREV_TRAB</f>
        <v>0.04</v>
      </c>
      <c r="F60" s="172"/>
    </row>
    <row r="61" spans="2:7" s="92" customFormat="1">
      <c r="B61" s="348" t="s">
        <v>406</v>
      </c>
      <c r="C61" s="348"/>
      <c r="D61" s="348"/>
      <c r="E61" s="348"/>
      <c r="F61" s="174"/>
    </row>
    <row r="62" spans="2:7" customFormat="1" ht="7.5" customHeight="1">
      <c r="B62" s="137"/>
      <c r="C62" s="77"/>
      <c r="D62" s="138"/>
      <c r="E62" s="100"/>
      <c r="F62" s="100"/>
      <c r="G62" s="77"/>
    </row>
    <row r="63" spans="2:7" s="92" customFormat="1" ht="15.95" customHeight="1">
      <c r="B63" s="124" t="s">
        <v>356</v>
      </c>
      <c r="C63" s="89"/>
      <c r="D63" s="88"/>
      <c r="E63" s="77"/>
      <c r="F63" s="77"/>
    </row>
    <row r="64" spans="2:7" s="92" customFormat="1" ht="15.95" customHeight="1">
      <c r="B64" s="124" t="s">
        <v>355</v>
      </c>
      <c r="C64" s="89"/>
      <c r="D64" s="88"/>
      <c r="E64" s="87"/>
      <c r="F64" s="87"/>
    </row>
    <row r="65" spans="2:6" s="92" customFormat="1" ht="16.5" customHeight="1">
      <c r="B65" s="166" t="s">
        <v>354</v>
      </c>
      <c r="C65" s="347" t="s">
        <v>353</v>
      </c>
      <c r="D65" s="347"/>
      <c r="E65" s="168" t="s">
        <v>366</v>
      </c>
      <c r="F65" s="168" t="s">
        <v>442</v>
      </c>
    </row>
    <row r="66" spans="2:6" s="92" customFormat="1" ht="15.95" customHeight="1">
      <c r="B66" s="168" t="s">
        <v>333</v>
      </c>
      <c r="C66" s="307" t="s">
        <v>413</v>
      </c>
      <c r="D66" s="307"/>
      <c r="E66" s="129">
        <f>PERC_SUBSTITUTO_FERIAS</f>
        <v>8.3333333333333304</v>
      </c>
      <c r="F66" s="172"/>
    </row>
    <row r="67" spans="2:6" s="92" customFormat="1" ht="15.95" customHeight="1">
      <c r="B67" s="168" t="s">
        <v>331</v>
      </c>
      <c r="C67" s="294" t="s">
        <v>415</v>
      </c>
      <c r="D67" s="294"/>
      <c r="E67" s="176">
        <f>PERC_SUBSTITUTO_AUSENCIAS_LEGAIS</f>
        <v>2.2222222222222201</v>
      </c>
      <c r="F67" s="173"/>
    </row>
    <row r="68" spans="2:6" s="92" customFormat="1" ht="15.95" customHeight="1">
      <c r="B68" s="168" t="s">
        <v>349</v>
      </c>
      <c r="C68" s="307" t="s">
        <v>417</v>
      </c>
      <c r="D68" s="307"/>
      <c r="E68" s="175">
        <f>PERC_SUBSTITUTO_LICENCA_PATERNIDADE</f>
        <v>3.56735555555555E-2</v>
      </c>
      <c r="F68" s="172"/>
    </row>
    <row r="69" spans="2:6" s="92" customFormat="1" ht="16.5" customHeight="1">
      <c r="B69" s="168" t="s">
        <v>347</v>
      </c>
      <c r="C69" s="294" t="s">
        <v>419</v>
      </c>
      <c r="D69" s="294"/>
      <c r="E69" s="176">
        <f>PERC_SUBSTITUTO_ACID_TRAB</f>
        <v>1.85302229372558E-2</v>
      </c>
      <c r="F69" s="173"/>
    </row>
    <row r="70" spans="2:6" s="92" customFormat="1" ht="16.5" customHeight="1">
      <c r="B70" s="168" t="s">
        <v>345</v>
      </c>
      <c r="C70" s="307" t="s">
        <v>421</v>
      </c>
      <c r="D70" s="307"/>
      <c r="E70" s="175">
        <f>PERC_SUBSTITUTO_AFAST_MATERN</f>
        <v>0.14312918399999999</v>
      </c>
      <c r="F70" s="172"/>
    </row>
    <row r="71" spans="2:6" s="92" customFormat="1">
      <c r="B71" s="168" t="s">
        <v>343</v>
      </c>
      <c r="C71" s="314" t="str">
        <f>OUTRAS_AUSENCIAS_DESCRICAO</f>
        <v>Outras Ausências (Especificar - em %)</v>
      </c>
      <c r="D71" s="314"/>
      <c r="E71" s="179">
        <f>PERC_SUBSTITUTO_OUTRAS_AUSENCIAS</f>
        <v>0</v>
      </c>
      <c r="F71" s="173"/>
    </row>
    <row r="72" spans="2:6" s="92" customFormat="1">
      <c r="B72" s="348" t="s">
        <v>406</v>
      </c>
      <c r="C72" s="348"/>
      <c r="D72" s="348"/>
      <c r="E72" s="348"/>
      <c r="F72" s="174"/>
    </row>
    <row r="73" spans="2:6" s="92" customFormat="1" ht="15" customHeight="1">
      <c r="B73" s="124" t="s">
        <v>450</v>
      </c>
      <c r="C73" s="89"/>
      <c r="D73" s="88"/>
      <c r="E73" s="87"/>
      <c r="F73" s="87"/>
    </row>
    <row r="74" spans="2:6" s="92" customFormat="1">
      <c r="B74" s="166" t="s">
        <v>336</v>
      </c>
      <c r="C74" s="348" t="s">
        <v>451</v>
      </c>
      <c r="D74" s="348"/>
      <c r="E74" s="348"/>
      <c r="F74" s="168" t="s">
        <v>442</v>
      </c>
    </row>
    <row r="75" spans="2:6" s="92" customFormat="1" ht="16.5" customHeight="1">
      <c r="B75" s="166" t="s">
        <v>333</v>
      </c>
      <c r="C75" s="307" t="s">
        <v>452</v>
      </c>
      <c r="D75" s="307"/>
      <c r="E75" s="307"/>
      <c r="F75" s="169"/>
    </row>
    <row r="76" spans="2:6" s="92" customFormat="1">
      <c r="B76" s="348" t="s">
        <v>406</v>
      </c>
      <c r="C76" s="348"/>
      <c r="D76" s="348"/>
      <c r="E76" s="348"/>
      <c r="F76" s="174"/>
    </row>
    <row r="77" spans="2:6" customFormat="1" ht="7.5" customHeight="1">
      <c r="B77" s="137"/>
      <c r="C77" s="77"/>
      <c r="D77" s="138"/>
      <c r="E77" s="100"/>
      <c r="F77" s="100"/>
    </row>
    <row r="78" spans="2:6" customFormat="1">
      <c r="B78" s="124" t="s">
        <v>453</v>
      </c>
      <c r="C78" s="89"/>
      <c r="D78" s="89"/>
      <c r="E78" s="87"/>
      <c r="F78" s="87"/>
    </row>
    <row r="79" spans="2:6" customFormat="1" ht="15.75" customHeight="1">
      <c r="B79" s="180">
        <v>5</v>
      </c>
      <c r="C79" s="350" t="s">
        <v>454</v>
      </c>
      <c r="D79" s="350"/>
      <c r="E79" s="350"/>
      <c r="F79" s="181" t="s">
        <v>442</v>
      </c>
    </row>
    <row r="80" spans="2:6" customFormat="1" ht="16.5" customHeight="1">
      <c r="B80" s="182" t="s">
        <v>333</v>
      </c>
      <c r="C80" s="316" t="s">
        <v>455</v>
      </c>
      <c r="D80" s="316"/>
      <c r="E80" s="316"/>
      <c r="F80" s="183"/>
    </row>
    <row r="81" spans="2:6" customFormat="1" ht="16.5" customHeight="1">
      <c r="B81" s="182" t="s">
        <v>331</v>
      </c>
      <c r="C81" s="313" t="s">
        <v>456</v>
      </c>
      <c r="D81" s="313"/>
      <c r="E81" s="313"/>
      <c r="F81" s="184"/>
    </row>
    <row r="82" spans="2:6" customFormat="1" ht="16.5" customHeight="1">
      <c r="B82" s="182" t="s">
        <v>349</v>
      </c>
      <c r="C82" s="316" t="s">
        <v>457</v>
      </c>
      <c r="D82" s="316"/>
      <c r="E82" s="316"/>
      <c r="F82" s="183"/>
    </row>
    <row r="83" spans="2:6" customFormat="1" ht="16.350000000000001" customHeight="1">
      <c r="B83" s="182" t="s">
        <v>347</v>
      </c>
      <c r="C83" s="317" t="s">
        <v>458</v>
      </c>
      <c r="D83" s="317"/>
      <c r="E83" s="317"/>
      <c r="F83" s="184"/>
    </row>
    <row r="84" spans="2:6" customFormat="1" ht="16.5" customHeight="1">
      <c r="B84" s="350" t="s">
        <v>406</v>
      </c>
      <c r="C84" s="350"/>
      <c r="D84" s="350"/>
      <c r="E84" s="350"/>
      <c r="F84" s="185"/>
    </row>
    <row r="85" spans="2:6" customFormat="1" ht="7.5" customHeight="1">
      <c r="B85" s="137"/>
      <c r="C85" s="77"/>
      <c r="D85" s="138"/>
      <c r="E85" s="100"/>
      <c r="F85" s="100"/>
    </row>
    <row r="86" spans="2:6" customFormat="1" ht="15" customHeight="1">
      <c r="B86" s="318" t="s">
        <v>459</v>
      </c>
      <c r="C86" s="318"/>
      <c r="D86" s="318"/>
      <c r="E86" s="318"/>
      <c r="F86" s="318"/>
    </row>
    <row r="87" spans="2:6" customFormat="1">
      <c r="B87" s="166">
        <v>6</v>
      </c>
      <c r="C87" s="348" t="s">
        <v>460</v>
      </c>
      <c r="D87" s="348"/>
      <c r="E87" s="168" t="s">
        <v>366</v>
      </c>
      <c r="F87" s="168" t="s">
        <v>442</v>
      </c>
    </row>
    <row r="88" spans="2:6" customFormat="1" ht="16.5" customHeight="1">
      <c r="B88" s="166" t="s">
        <v>333</v>
      </c>
      <c r="C88" s="307" t="s">
        <v>461</v>
      </c>
      <c r="D88" s="307"/>
      <c r="E88" s="203">
        <f>'Cálculo do BDI'!C20+'Cálculo do BDI'!C21+'Cálculo do BDI'!C22+'Cálculo do BDI'!C23</f>
        <v>5.1500000000000004E-2</v>
      </c>
      <c r="F88" s="172"/>
    </row>
    <row r="89" spans="2:6" customFormat="1" ht="15.75" customHeight="1">
      <c r="B89" s="168" t="s">
        <v>331</v>
      </c>
      <c r="C89" s="294" t="s">
        <v>462</v>
      </c>
      <c r="D89" s="294"/>
      <c r="E89" s="204">
        <f>'Cálculo do BDI'!C24</f>
        <v>5.0500000000000003E-2</v>
      </c>
      <c r="F89" s="173"/>
    </row>
    <row r="90" spans="2:6" customFormat="1" ht="16.5" customHeight="1">
      <c r="B90" s="168" t="s">
        <v>349</v>
      </c>
      <c r="C90" s="307" t="s">
        <v>463</v>
      </c>
      <c r="D90" s="307"/>
      <c r="E90" s="186">
        <f>SUM(E91:E94)</f>
        <v>8.6499999999999994E-2</v>
      </c>
      <c r="F90" s="172"/>
    </row>
    <row r="91" spans="2:6" customFormat="1" ht="15.75" customHeight="1">
      <c r="B91" s="187" t="s">
        <v>464</v>
      </c>
      <c r="C91" s="319" t="s">
        <v>16</v>
      </c>
      <c r="D91" s="319"/>
      <c r="E91" s="188">
        <v>6.4999999999999997E-3</v>
      </c>
      <c r="F91" s="189"/>
    </row>
    <row r="92" spans="2:6" customFormat="1" ht="16.5" customHeight="1">
      <c r="B92" s="187" t="s">
        <v>465</v>
      </c>
      <c r="C92" s="320" t="s">
        <v>466</v>
      </c>
      <c r="D92" s="320"/>
      <c r="E92" s="190">
        <v>0.03</v>
      </c>
      <c r="F92" s="191"/>
    </row>
    <row r="93" spans="2:6" s="154" customFormat="1" ht="16.5" customHeight="1">
      <c r="B93" s="187" t="s">
        <v>467</v>
      </c>
      <c r="C93" s="319" t="s">
        <v>468</v>
      </c>
      <c r="D93" s="319"/>
      <c r="E93" s="188">
        <v>0.05</v>
      </c>
      <c r="F93" s="189"/>
    </row>
    <row r="94" spans="2:6" s="154" customFormat="1" ht="16.5" customHeight="1">
      <c r="B94" s="187" t="s">
        <v>478</v>
      </c>
      <c r="C94" s="320" t="s">
        <v>479</v>
      </c>
      <c r="D94" s="320"/>
      <c r="E94" s="190"/>
      <c r="F94" s="191"/>
    </row>
    <row r="95" spans="2:6" s="154" customFormat="1">
      <c r="B95" s="348" t="s">
        <v>406</v>
      </c>
      <c r="C95" s="348"/>
      <c r="D95" s="348"/>
      <c r="E95" s="348"/>
      <c r="F95" s="192"/>
    </row>
    <row r="96" spans="2:6" s="154" customFormat="1" ht="20.25">
      <c r="B96" s="156" t="s">
        <v>469</v>
      </c>
      <c r="C96" s="157"/>
      <c r="D96" s="157"/>
      <c r="E96" s="157"/>
      <c r="F96" s="158"/>
    </row>
    <row r="97" spans="2:6" s="159" customFormat="1" ht="16.5" customHeight="1">
      <c r="B97" s="168" t="s">
        <v>470</v>
      </c>
      <c r="C97" s="347" t="s">
        <v>471</v>
      </c>
      <c r="D97" s="347"/>
      <c r="E97" s="347"/>
      <c r="F97" s="168" t="s">
        <v>472</v>
      </c>
    </row>
    <row r="98" spans="2:6" s="154" customFormat="1" ht="16.5" customHeight="1">
      <c r="B98" s="166">
        <v>1</v>
      </c>
      <c r="C98" s="307" t="s">
        <v>382</v>
      </c>
      <c r="D98" s="307"/>
      <c r="E98" s="307"/>
      <c r="F98" s="172"/>
    </row>
    <row r="99" spans="2:6" s="160" customFormat="1" ht="16.5" customHeight="1">
      <c r="B99" s="168">
        <v>2</v>
      </c>
      <c r="C99" s="294" t="s">
        <v>473</v>
      </c>
      <c r="D99" s="294"/>
      <c r="E99" s="294"/>
      <c r="F99" s="173"/>
    </row>
    <row r="100" spans="2:6" s="160" customFormat="1" ht="16.5" customHeight="1">
      <c r="B100" s="168">
        <v>3</v>
      </c>
      <c r="C100" s="307" t="s">
        <v>362</v>
      </c>
      <c r="D100" s="307"/>
      <c r="E100" s="307"/>
      <c r="F100" s="172"/>
    </row>
    <row r="101" spans="2:6" s="160" customFormat="1" ht="16.5" customHeight="1">
      <c r="B101" s="168">
        <v>4</v>
      </c>
      <c r="C101" s="294" t="s">
        <v>474</v>
      </c>
      <c r="D101" s="294"/>
      <c r="E101" s="294"/>
      <c r="F101" s="173"/>
    </row>
    <row r="102" spans="2:6" s="160" customFormat="1" ht="16.5" customHeight="1">
      <c r="B102" s="168">
        <v>5</v>
      </c>
      <c r="C102" s="307" t="s">
        <v>454</v>
      </c>
      <c r="D102" s="307"/>
      <c r="E102" s="307"/>
      <c r="F102" s="172"/>
    </row>
    <row r="103" spans="2:6" s="160" customFormat="1" ht="16.5" customHeight="1">
      <c r="B103" s="168">
        <v>6</v>
      </c>
      <c r="C103" s="294" t="s">
        <v>460</v>
      </c>
      <c r="D103" s="294"/>
      <c r="E103" s="294"/>
      <c r="F103" s="173"/>
    </row>
    <row r="104" spans="2:6" customFormat="1" ht="16.5" customHeight="1">
      <c r="B104" s="351" t="s">
        <v>475</v>
      </c>
      <c r="C104" s="351"/>
      <c r="D104" s="351"/>
      <c r="E104" s="351"/>
      <c r="F104" s="193"/>
    </row>
    <row r="105" spans="2:6" customFormat="1" ht="16.5" customHeight="1">
      <c r="B105" s="322" t="s">
        <v>476</v>
      </c>
      <c r="C105" s="322"/>
      <c r="D105" s="322"/>
      <c r="E105" s="322"/>
      <c r="F105" s="162">
        <f>VALOR_TOTAL_EMPREGADO*EMPREG_POR_POSTO</f>
        <v>0</v>
      </c>
    </row>
    <row r="106" spans="2:6" customFormat="1" ht="16.5" customHeight="1">
      <c r="B106" s="322" t="s">
        <v>477</v>
      </c>
      <c r="C106" s="322"/>
      <c r="D106" s="322"/>
      <c r="E106" s="322"/>
      <c r="F106" s="162">
        <f>VALOR_TOTAL_EMPREGADO*EMPREG_POR_POSTO*QTDE_POSTOS</f>
        <v>0</v>
      </c>
    </row>
  </sheetData>
  <sheetProtection sheet="1" objects="1" scenarios="1"/>
  <protectedRanges>
    <protectedRange sqref="F2 F8 F10 F22:F30 F34:F36 E39:F46 F47 F50:F55 E58:F60 F61 F66:F72 E67:E71 F75:F76 F80:F84 F88:F95 E90:E94 F98:F104" name="Intervalo1"/>
  </protectedRanges>
  <mergeCells count="95">
    <mergeCell ref="C102:E102"/>
    <mergeCell ref="C103:E103"/>
    <mergeCell ref="B104:E104"/>
    <mergeCell ref="B105:E105"/>
    <mergeCell ref="B106:E106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B1:F1"/>
    <mergeCell ref="B2:D2"/>
    <mergeCell ref="B3:F3"/>
    <mergeCell ref="B4:F4"/>
    <mergeCell ref="B5:C5"/>
    <mergeCell ref="D5:F5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EAAD1-847C-4D84-BB01-9FE8D5F4DEBB}">
  <dimension ref="A1:AMJ105"/>
  <sheetViews>
    <sheetView zoomScale="140" zoomScaleNormal="140" workbookViewId="0">
      <selection activeCell="B7" sqref="B7:F7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ht="20.25">
      <c r="B1" s="285" t="s">
        <v>59</v>
      </c>
      <c r="C1" s="285"/>
      <c r="D1" s="285"/>
      <c r="E1" s="285"/>
      <c r="F1" s="285"/>
    </row>
    <row r="2" spans="2:6" ht="20.25">
      <c r="B2" s="286" t="s">
        <v>423</v>
      </c>
      <c r="C2" s="286"/>
      <c r="D2" s="286"/>
      <c r="E2" s="108" t="s">
        <v>424</v>
      </c>
      <c r="F2" s="109" t="str">
        <f>DATA_DO_ORCAMENTO_ESTIMATIVO</f>
        <v>XX/XX/20XX</v>
      </c>
    </row>
    <row r="3" spans="2:6" s="92" customFormat="1" ht="25.5">
      <c r="B3" s="287" t="s">
        <v>425</v>
      </c>
      <c r="C3" s="287"/>
      <c r="D3" s="287"/>
      <c r="E3" s="287"/>
      <c r="F3" s="287"/>
    </row>
    <row r="4" spans="2:6" s="92" customFormat="1" ht="15.95" customHeight="1">
      <c r="B4" s="288" t="s">
        <v>1</v>
      </c>
      <c r="C4" s="288"/>
      <c r="D4" s="288"/>
      <c r="E4" s="288"/>
      <c r="F4" s="288"/>
    </row>
    <row r="5" spans="2:6" s="92" customFormat="1" ht="15.95" customHeight="1">
      <c r="B5" s="284" t="s">
        <v>2</v>
      </c>
      <c r="C5" s="284"/>
      <c r="D5" s="289" t="s">
        <v>20</v>
      </c>
      <c r="E5" s="289"/>
      <c r="F5" s="289"/>
    </row>
    <row r="6" spans="2:6" s="92" customFormat="1" ht="15.75" customHeight="1">
      <c r="B6" s="290" t="s">
        <v>3</v>
      </c>
      <c r="C6" s="290"/>
      <c r="D6" s="291" t="str">
        <f>MODALIDADE_DE_LICITACAO</f>
        <v>Pregão nº</v>
      </c>
      <c r="E6" s="291"/>
      <c r="F6" s="111" t="s">
        <v>513</v>
      </c>
    </row>
    <row r="7" spans="2:6" s="92" customFormat="1" ht="15.75" customHeight="1">
      <c r="B7" s="292" t="s">
        <v>426</v>
      </c>
      <c r="C7" s="292"/>
      <c r="D7" s="292"/>
      <c r="E7" s="292"/>
      <c r="F7" s="292"/>
    </row>
    <row r="8" spans="2:6" s="92" customFormat="1" ht="18" customHeight="1">
      <c r="B8" s="112" t="s">
        <v>333</v>
      </c>
      <c r="C8" s="284" t="s">
        <v>427</v>
      </c>
      <c r="D8" s="284"/>
      <c r="E8" s="284"/>
      <c r="F8" s="113" t="str">
        <f>DATA_APRESENTACAO_PROPOSTA</f>
        <v>XX/XX/20XX</v>
      </c>
    </row>
    <row r="9" spans="2:6" s="92" customFormat="1" ht="15.95" customHeight="1">
      <c r="B9" s="114" t="s">
        <v>331</v>
      </c>
      <c r="C9" s="115" t="s">
        <v>428</v>
      </c>
      <c r="D9" s="293" t="s">
        <v>484</v>
      </c>
      <c r="E9" s="293"/>
      <c r="F9" s="293"/>
    </row>
    <row r="10" spans="2:6" s="92" customFormat="1" ht="18.75" customHeight="1">
      <c r="B10" s="112" t="s">
        <v>349</v>
      </c>
      <c r="C10" s="284" t="s">
        <v>429</v>
      </c>
      <c r="D10" s="284"/>
      <c r="E10" s="284"/>
      <c r="F10" s="113" t="s">
        <v>430</v>
      </c>
    </row>
    <row r="11" spans="2:6" s="92" customFormat="1" ht="15.95" customHeight="1">
      <c r="B11" s="114" t="s">
        <v>347</v>
      </c>
      <c r="C11" s="295" t="s">
        <v>431</v>
      </c>
      <c r="D11" s="295"/>
      <c r="E11" s="295"/>
      <c r="F11" s="116">
        <f>NUMERO_MESES_EXEC_CONTRATUAL</f>
        <v>12</v>
      </c>
    </row>
    <row r="12" spans="2:6" s="92" customFormat="1">
      <c r="B12" s="114" t="s">
        <v>345</v>
      </c>
      <c r="C12" s="296" t="s">
        <v>432</v>
      </c>
      <c r="D12" s="296"/>
      <c r="E12" s="296"/>
      <c r="F12" s="110">
        <v>1</v>
      </c>
    </row>
    <row r="13" spans="2:6" s="119" customFormat="1" ht="15" customHeight="1">
      <c r="B13" s="117" t="s">
        <v>433</v>
      </c>
      <c r="C13" s="118"/>
      <c r="D13" s="118"/>
      <c r="E13" s="118"/>
      <c r="F13" s="118"/>
    </row>
    <row r="14" spans="2:6" s="92" customFormat="1">
      <c r="B14" s="112">
        <v>1</v>
      </c>
      <c r="C14" s="284" t="s">
        <v>434</v>
      </c>
      <c r="D14" s="284"/>
      <c r="E14" s="297" t="s">
        <v>480</v>
      </c>
      <c r="F14" s="297"/>
    </row>
    <row r="15" spans="2:6" s="92" customFormat="1">
      <c r="B15" s="112">
        <v>2</v>
      </c>
      <c r="C15" s="120" t="s">
        <v>436</v>
      </c>
      <c r="D15" s="298" t="s">
        <v>481</v>
      </c>
      <c r="E15" s="298"/>
      <c r="F15" s="298"/>
    </row>
    <row r="16" spans="2:6" s="92" customFormat="1" ht="15" customHeight="1">
      <c r="B16" s="112">
        <v>3</v>
      </c>
      <c r="C16" s="121" t="s">
        <v>438</v>
      </c>
      <c r="D16" s="289" t="str">
        <f>IF(CATEGORIA_PROFISSIONAL="","",CATEGORIA_PROFISSIONAL)</f>
        <v/>
      </c>
      <c r="E16" s="289"/>
      <c r="F16" s="289"/>
    </row>
    <row r="17" spans="2:6" s="92" customFormat="1" ht="15" customHeight="1">
      <c r="B17" s="112">
        <v>4</v>
      </c>
      <c r="C17" s="290" t="s">
        <v>439</v>
      </c>
      <c r="D17" s="290"/>
      <c r="E17" s="290"/>
      <c r="F17" s="122">
        <v>44774</v>
      </c>
    </row>
    <row r="18" spans="2:6" s="123" customFormat="1" ht="20.25" customHeight="1">
      <c r="B18" s="299" t="s">
        <v>440</v>
      </c>
      <c r="C18" s="299"/>
      <c r="D18" s="299"/>
      <c r="E18" s="299"/>
      <c r="F18" s="299"/>
    </row>
    <row r="19" spans="2:6">
      <c r="B19" s="300" t="s">
        <v>441</v>
      </c>
      <c r="C19" s="301"/>
      <c r="D19" s="301"/>
      <c r="E19" s="301"/>
      <c r="F19" s="302"/>
    </row>
    <row r="20" spans="2:6">
      <c r="B20" s="124" t="s">
        <v>383</v>
      </c>
      <c r="E20" s="100"/>
      <c r="F20" s="100"/>
    </row>
    <row r="21" spans="2:6" ht="16.5" customHeight="1">
      <c r="B21" s="114">
        <v>1</v>
      </c>
      <c r="C21" s="303" t="s">
        <v>382</v>
      </c>
      <c r="D21" s="303"/>
      <c r="E21" s="303"/>
      <c r="F21" s="125" t="s">
        <v>442</v>
      </c>
    </row>
    <row r="22" spans="2:6" ht="16.350000000000001" customHeight="1">
      <c r="B22" s="114" t="s">
        <v>333</v>
      </c>
      <c r="C22" s="304" t="s">
        <v>443</v>
      </c>
      <c r="D22" s="304"/>
      <c r="E22" s="304"/>
      <c r="F22" s="126">
        <v>1418.17</v>
      </c>
    </row>
    <row r="23" spans="2:6" ht="16.5" customHeight="1">
      <c r="B23" s="114" t="s">
        <v>331</v>
      </c>
      <c r="C23" s="294" t="s">
        <v>444</v>
      </c>
      <c r="D23" s="294"/>
      <c r="E23" s="294"/>
      <c r="F23" s="127">
        <v>0</v>
      </c>
    </row>
    <row r="24" spans="2:6" ht="15.75" customHeight="1">
      <c r="B24" s="114" t="s">
        <v>349</v>
      </c>
      <c r="C24" s="306" t="s">
        <v>445</v>
      </c>
      <c r="D24" s="306"/>
      <c r="E24" s="306"/>
      <c r="F24" s="126">
        <f>((AL_1_A_SAL_BASE+AL_1_B_ADIC_PERIC)/DIVISOR_DE_HORAS)*DIAS_NA_SEMANA*MEDIA_ANUAL_DIAS_TRABALHO_MES*PERC_ADIC_NOT%</f>
        <v>0</v>
      </c>
    </row>
    <row r="25" spans="2:6" ht="15.75" customHeight="1">
      <c r="B25" s="114" t="s">
        <v>347</v>
      </c>
      <c r="C25" s="294" t="s">
        <v>446</v>
      </c>
      <c r="D25" s="294"/>
      <c r="E25" s="294"/>
      <c r="F25" s="12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114" t="s">
        <v>345</v>
      </c>
      <c r="C26" s="307" t="s">
        <v>447</v>
      </c>
      <c r="D26" s="307"/>
      <c r="E26" s="307"/>
      <c r="F26" s="126">
        <f>PERC_ADIC_INS%*SAL_MINIMO</f>
        <v>0</v>
      </c>
    </row>
    <row r="27" spans="2:6">
      <c r="B27" s="114" t="s">
        <v>343</v>
      </c>
      <c r="C27" s="308" t="str">
        <f>OUTROS_REMUNERACAO_1_DESCRICAO</f>
        <v>Outras Remunerações 1 (Especificar)</v>
      </c>
      <c r="D27" s="308"/>
      <c r="E27" s="308"/>
      <c r="F27" s="127">
        <f>OUTROS_REMUNERACAO_1</f>
        <v>0</v>
      </c>
    </row>
    <row r="28" spans="2:6">
      <c r="B28" s="114" t="s">
        <v>341</v>
      </c>
      <c r="C28" s="304" t="str">
        <f>OUTROS_REMUNERACAO_2_DESCRICAO</f>
        <v>Outras Remunerações 2 (Especificar)</v>
      </c>
      <c r="D28" s="304"/>
      <c r="E28" s="304"/>
      <c r="F28" s="126">
        <f>OUTROS_REMUNERACAO_2</f>
        <v>0</v>
      </c>
    </row>
    <row r="29" spans="2:6">
      <c r="B29" s="114" t="s">
        <v>339</v>
      </c>
      <c r="C29" s="308" t="str">
        <f>OUTROS_REMUNERACAO_3_DESCRICAO</f>
        <v>Outras Remunerações 3 (Especificar)</v>
      </c>
      <c r="D29" s="308"/>
      <c r="E29" s="308"/>
      <c r="F29" s="127">
        <f>OUTROS_REMUNERACAO_3</f>
        <v>0</v>
      </c>
    </row>
    <row r="30" spans="2:6" ht="16.5" customHeight="1">
      <c r="B30" s="303" t="s">
        <v>406</v>
      </c>
      <c r="C30" s="303"/>
      <c r="D30" s="303"/>
      <c r="E30" s="303"/>
      <c r="F30" s="128">
        <f>SUM(F22:F29)</f>
        <v>1418.17</v>
      </c>
    </row>
    <row r="31" spans="2:6">
      <c r="B31" s="124" t="s">
        <v>386</v>
      </c>
      <c r="E31" s="102"/>
      <c r="F31" s="102"/>
    </row>
    <row r="32" spans="2:6">
      <c r="B32" s="124" t="s">
        <v>387</v>
      </c>
      <c r="C32" s="89"/>
      <c r="D32" s="88"/>
      <c r="E32" s="87"/>
      <c r="F32" s="87"/>
    </row>
    <row r="33" spans="2:6">
      <c r="B33" s="114" t="s">
        <v>388</v>
      </c>
      <c r="C33" s="309" t="s">
        <v>389</v>
      </c>
      <c r="D33" s="309"/>
      <c r="E33" s="125" t="s">
        <v>366</v>
      </c>
      <c r="F33" s="125" t="s">
        <v>442</v>
      </c>
    </row>
    <row r="34" spans="2:6" ht="16.5" customHeight="1">
      <c r="B34" s="114" t="s">
        <v>333</v>
      </c>
      <c r="C34" s="307" t="s">
        <v>391</v>
      </c>
      <c r="D34" s="307"/>
      <c r="E34" s="129">
        <f>PERC_DEC_TERC</f>
        <v>8.3333333333333321</v>
      </c>
      <c r="F34" s="130">
        <f>PERC_DEC_TERC%*MOD_1_REMUNERACAO</f>
        <v>118.18083333333331</v>
      </c>
    </row>
    <row r="35" spans="2:6" s="77" customFormat="1" ht="16.5" customHeight="1">
      <c r="B35" s="125" t="s">
        <v>331</v>
      </c>
      <c r="C35" s="294" t="s">
        <v>393</v>
      </c>
      <c r="D35" s="294"/>
      <c r="E35" s="131">
        <f>PERC_ADIC_FERIAS</f>
        <v>2.7777777777777777</v>
      </c>
      <c r="F35" s="132">
        <f>PERC_ADIC_FERIAS%*MOD_1_REMUNERACAO</f>
        <v>39.393611111111113</v>
      </c>
    </row>
    <row r="36" spans="2:6" s="81" customFormat="1">
      <c r="B36" s="309" t="s">
        <v>406</v>
      </c>
      <c r="C36" s="309"/>
      <c r="D36" s="309"/>
      <c r="E36" s="309"/>
      <c r="F36" s="133">
        <f>SUM(F34:F35)</f>
        <v>157.57444444444442</v>
      </c>
    </row>
    <row r="37" spans="2:6" s="81" customFormat="1" ht="31.5" customHeight="1">
      <c r="B37" s="305" t="s">
        <v>395</v>
      </c>
      <c r="C37" s="305"/>
      <c r="D37" s="305"/>
      <c r="E37" s="305"/>
      <c r="F37" s="305"/>
    </row>
    <row r="38" spans="2:6" s="81" customFormat="1" ht="34.5" customHeight="1">
      <c r="B38" s="114" t="s">
        <v>396</v>
      </c>
      <c r="C38" s="310" t="s">
        <v>397</v>
      </c>
      <c r="D38" s="310"/>
      <c r="E38" s="125" t="s">
        <v>366</v>
      </c>
      <c r="F38" s="125" t="s">
        <v>442</v>
      </c>
    </row>
    <row r="39" spans="2:6" ht="16.5" customHeight="1">
      <c r="B39" s="114" t="s">
        <v>333</v>
      </c>
      <c r="C39" s="307" t="s">
        <v>398</v>
      </c>
      <c r="D39" s="307"/>
      <c r="E39" s="129">
        <f>PERC_INSS</f>
        <v>20</v>
      </c>
      <c r="F39" s="130">
        <f>PERC_INSS%*(MOD_1_REMUNERACAO+SUBMOD_2_1_DEC_TERC_ADIC_FERIAS)</f>
        <v>315.14888888888891</v>
      </c>
    </row>
    <row r="40" spans="2:6" s="92" customFormat="1" ht="16.5" customHeight="1">
      <c r="B40" s="125" t="s">
        <v>331</v>
      </c>
      <c r="C40" s="294" t="s">
        <v>399</v>
      </c>
      <c r="D40" s="294"/>
      <c r="E40" s="134">
        <f>PERC_SAL_EDUCACAO</f>
        <v>2.5</v>
      </c>
      <c r="F40" s="132">
        <f>PERC_SAL_EDUCACAO%*(MOD_1_REMUNERACAO+SUBMOD_2_1_DEC_TERC_ADIC_FERIAS)</f>
        <v>39.393611111111113</v>
      </c>
    </row>
    <row r="41" spans="2:6" s="92" customFormat="1" ht="16.5" customHeight="1">
      <c r="B41" s="125" t="s">
        <v>349</v>
      </c>
      <c r="C41" s="307" t="s">
        <v>400</v>
      </c>
      <c r="D41" s="307"/>
      <c r="E41" s="129">
        <f>PERC_RAT</f>
        <v>3</v>
      </c>
      <c r="F41" s="130">
        <f>PERC_RAT%*(MOD_1_REMUNERACAO+SUBMOD_2_1_DEC_TERC_ADIC_FERIAS)</f>
        <v>47.272333333333336</v>
      </c>
    </row>
    <row r="42" spans="2:6" s="92" customFormat="1" ht="16.5" customHeight="1">
      <c r="B42" s="125" t="s">
        <v>347</v>
      </c>
      <c r="C42" s="294" t="s">
        <v>401</v>
      </c>
      <c r="D42" s="294"/>
      <c r="E42" s="131">
        <f>PERC_SESC</f>
        <v>1.5</v>
      </c>
      <c r="F42" s="132">
        <f>PERC_SESC%*(MOD_1_REMUNERACAO+SUBMOD_2_1_DEC_TERC_ADIC_FERIAS)</f>
        <v>23.636166666666668</v>
      </c>
    </row>
    <row r="43" spans="2:6" s="92" customFormat="1" ht="16.5" customHeight="1">
      <c r="B43" s="125" t="s">
        <v>345</v>
      </c>
      <c r="C43" s="307" t="s">
        <v>402</v>
      </c>
      <c r="D43" s="307"/>
      <c r="E43" s="129">
        <f>PERC_SENAC</f>
        <v>1</v>
      </c>
      <c r="F43" s="130">
        <f>PERC_SENAC%*(MOD_1_REMUNERACAO+SUBMOD_2_1_DEC_TERC_ADIC_FERIAS)</f>
        <v>15.757444444444445</v>
      </c>
    </row>
    <row r="44" spans="2:6" s="92" customFormat="1" ht="16.5" customHeight="1">
      <c r="B44" s="125" t="s">
        <v>343</v>
      </c>
      <c r="C44" s="294" t="s">
        <v>403</v>
      </c>
      <c r="D44" s="294"/>
      <c r="E44" s="134">
        <f>PERC_SEBRAE</f>
        <v>0.6</v>
      </c>
      <c r="F44" s="132">
        <f>PERC_SEBRAE%*(MOD_1_REMUNERACAO+SUBMOD_2_1_DEC_TERC_ADIC_FERIAS)</f>
        <v>9.4544666666666668</v>
      </c>
    </row>
    <row r="45" spans="2:6" s="92" customFormat="1" ht="16.5" customHeight="1">
      <c r="B45" s="125" t="s">
        <v>341</v>
      </c>
      <c r="C45" s="307" t="s">
        <v>404</v>
      </c>
      <c r="D45" s="307"/>
      <c r="E45" s="129">
        <f>PERC_INCRA</f>
        <v>0.2</v>
      </c>
      <c r="F45" s="130">
        <f>PERC_INCRA%*(MOD_1_REMUNERACAO+SUBMOD_2_1_DEC_TERC_ADIC_FERIAS)</f>
        <v>3.1514888888888892</v>
      </c>
    </row>
    <row r="46" spans="2:6" ht="16.5" customHeight="1">
      <c r="B46" s="125" t="s">
        <v>339</v>
      </c>
      <c r="C46" s="294" t="s">
        <v>405</v>
      </c>
      <c r="D46" s="294"/>
      <c r="E46" s="134">
        <f>PERC_FGTS</f>
        <v>8</v>
      </c>
      <c r="F46" s="132">
        <f>PERC_FGTS%*(MOD_1_REMUNERACAO+SUBMOD_2_1_DEC_TERC_ADIC_FERIAS)</f>
        <v>126.05955555555556</v>
      </c>
    </row>
    <row r="47" spans="2:6">
      <c r="B47" s="309" t="s">
        <v>406</v>
      </c>
      <c r="C47" s="309"/>
      <c r="D47" s="309"/>
      <c r="E47" s="309"/>
      <c r="F47" s="135">
        <f>SUM(F39:F46)</f>
        <v>579.87395555555554</v>
      </c>
    </row>
    <row r="48" spans="2:6" ht="15.75" customHeight="1">
      <c r="B48" s="124" t="s">
        <v>370</v>
      </c>
      <c r="C48" s="92"/>
      <c r="D48" s="92"/>
      <c r="E48" s="92"/>
      <c r="F48" s="92"/>
    </row>
    <row r="49" spans="2:7" ht="15.75" customHeight="1">
      <c r="B49" s="114" t="s">
        <v>369</v>
      </c>
      <c r="C49" s="303" t="s">
        <v>368</v>
      </c>
      <c r="D49" s="303"/>
      <c r="E49" s="303"/>
      <c r="F49" s="125" t="s">
        <v>442</v>
      </c>
    </row>
    <row r="50" spans="2:7" ht="16.350000000000001" customHeight="1">
      <c r="B50" s="112" t="s">
        <v>333</v>
      </c>
      <c r="C50" s="307" t="s">
        <v>448</v>
      </c>
      <c r="D50" s="307"/>
      <c r="E50" s="307"/>
      <c r="F50" s="130">
        <f>IF(((TRANSPORTE_POR_DIA*DIAS_TRABALHADOS_NO_MES)-(PERC_DESC_TRANSP_REMUNERACAO%*(AL_1_A_SAL_BASE)))&gt;0,((TRANSPORTE_POR_DIA*DIAS_TRABALHADOS_NO_MES)-(PERC_DESC_TRANSP_REMUNERACAO%*(AL_1_A_SAL_BASE))),0)</f>
        <v>90.909800000000004</v>
      </c>
    </row>
    <row r="51" spans="2:7" s="81" customFormat="1" ht="16.5" customHeight="1">
      <c r="B51" s="112" t="s">
        <v>331</v>
      </c>
      <c r="C51" s="294" t="s">
        <v>449</v>
      </c>
      <c r="D51" s="294"/>
      <c r="E51" s="294"/>
      <c r="F51" s="132">
        <v>416.46</v>
      </c>
      <c r="G51" s="136"/>
    </row>
    <row r="52" spans="2:7" s="81" customFormat="1">
      <c r="B52" s="112" t="s">
        <v>349</v>
      </c>
      <c r="C52" s="304" t="str">
        <f>OUTROS_BENEFICIOS_1_DESCRICAO</f>
        <v>Outros Benefícios 1 (Especificar)</v>
      </c>
      <c r="D52" s="304"/>
      <c r="E52" s="304"/>
      <c r="F52" s="130">
        <v>0</v>
      </c>
    </row>
    <row r="53" spans="2:7" s="81" customFormat="1">
      <c r="B53" s="112" t="s">
        <v>347</v>
      </c>
      <c r="C53" s="308" t="str">
        <f>OUTROS_BENEFICIOS_2_DESCRICAO</f>
        <v>Outros Benefícios 2 (Especificar)</v>
      </c>
      <c r="D53" s="308"/>
      <c r="E53" s="308"/>
      <c r="F53" s="132">
        <f>OUTROS_BENEFICIOS_2</f>
        <v>0</v>
      </c>
    </row>
    <row r="54" spans="2:7" s="81" customFormat="1">
      <c r="B54" s="112" t="s">
        <v>345</v>
      </c>
      <c r="C54" s="304" t="str">
        <f>OUTROS_BENEFICIOS_3_DESCRICAO</f>
        <v>Outros Benefícios 3 (Especificar)</v>
      </c>
      <c r="D54" s="304"/>
      <c r="E54" s="304"/>
      <c r="F54" s="130">
        <f>OUTROS_BENEFICIOS_3</f>
        <v>0</v>
      </c>
    </row>
    <row r="55" spans="2:7" s="81" customFormat="1" ht="15" customHeight="1">
      <c r="B55" s="303" t="s">
        <v>406</v>
      </c>
      <c r="C55" s="303"/>
      <c r="D55" s="303"/>
      <c r="E55" s="303"/>
      <c r="F55" s="128">
        <f>SUM(F50:F54)</f>
        <v>507.3698</v>
      </c>
    </row>
    <row r="56" spans="2:7" s="81" customFormat="1">
      <c r="B56" s="124" t="s">
        <v>363</v>
      </c>
      <c r="C56" s="89"/>
      <c r="D56" s="88"/>
      <c r="E56" s="87"/>
      <c r="F56" s="87"/>
    </row>
    <row r="57" spans="2:7" s="81" customFormat="1" ht="15" customHeight="1">
      <c r="B57" s="114">
        <v>3</v>
      </c>
      <c r="C57" s="309" t="s">
        <v>362</v>
      </c>
      <c r="D57" s="309"/>
      <c r="E57" s="125" t="s">
        <v>366</v>
      </c>
      <c r="F57" s="125" t="s">
        <v>442</v>
      </c>
    </row>
    <row r="58" spans="2:7" s="81" customFormat="1">
      <c r="B58" s="114" t="s">
        <v>333</v>
      </c>
      <c r="C58" s="311" t="s">
        <v>407</v>
      </c>
      <c r="D58" s="311"/>
      <c r="E58" s="129">
        <f>PERC_AVISO_PREVIO_IND</f>
        <v>0.29105124999999998</v>
      </c>
      <c r="F58" s="130">
        <f>PERC_AVISO_PREVIO_IND%*(MOD_1_REMUNERACAO+SUBMOD_2_1_DEC_TERC_ADIC_FERIAS+AL_2_2_FGTS+SUBMOD_2_3_BENEFICIOS)</f>
        <v>6.4298279595725001</v>
      </c>
    </row>
    <row r="59" spans="2:7" s="81" customFormat="1">
      <c r="B59" s="125" t="s">
        <v>331</v>
      </c>
      <c r="C59" s="312" t="s">
        <v>409</v>
      </c>
      <c r="D59" s="312"/>
      <c r="E59" s="134">
        <f>PERC_AVISO_PREVIO_TRAB</f>
        <v>1.15572693055556</v>
      </c>
      <c r="F59" s="132">
        <f>PERC_AVISO_PREVIO_TRAB%*(MOD_1_REMUNERACAO+SUBMOD_2_1_DEC_TERC_ADIC_FERIAS+SUBMOD_2_2_GPS_FGTS+SUBMOD_2_3_BENEFICIOS)</f>
        <v>30.776871784916761</v>
      </c>
    </row>
    <row r="60" spans="2:7" s="92" customFormat="1">
      <c r="B60" s="125" t="s">
        <v>349</v>
      </c>
      <c r="C60" s="311" t="s">
        <v>411</v>
      </c>
      <c r="D60" s="311"/>
      <c r="E60" s="129">
        <f>PERC_MULTA_FGTS_AV_PREV_TRAB</f>
        <v>0.04</v>
      </c>
      <c r="F60" s="130">
        <f>PERC_MULTA_FGTS_AV_PREV_TRAB%*(MOD_1_REMUNERACAO+SUBMOD_2_1_DEC_TERC_ADIC_FERIAS)</f>
        <v>0.63029777777777785</v>
      </c>
    </row>
    <row r="61" spans="2:7" s="92" customFormat="1">
      <c r="B61" s="309" t="s">
        <v>406</v>
      </c>
      <c r="C61" s="309"/>
      <c r="D61" s="309"/>
      <c r="E61" s="309"/>
      <c r="F61" s="133">
        <f>SUM(F58:F60)</f>
        <v>37.83699752226704</v>
      </c>
    </row>
    <row r="62" spans="2:7" ht="7.5" customHeight="1">
      <c r="B62" s="137"/>
      <c r="D62" s="138"/>
      <c r="E62" s="100"/>
      <c r="F62" s="100"/>
    </row>
    <row r="63" spans="2:7" s="92" customFormat="1" ht="15.95" customHeight="1">
      <c r="B63" s="124" t="s">
        <v>356</v>
      </c>
      <c r="C63" s="89"/>
      <c r="D63" s="88"/>
      <c r="E63" s="77"/>
      <c r="F63" s="77"/>
    </row>
    <row r="64" spans="2:7" s="92" customFormat="1" ht="15.95" customHeight="1">
      <c r="B64" s="124" t="s">
        <v>355</v>
      </c>
      <c r="C64" s="89"/>
      <c r="D64" s="88"/>
      <c r="E64" s="87"/>
      <c r="F64" s="87"/>
    </row>
    <row r="65" spans="2:6" s="92" customFormat="1" ht="16.5" customHeight="1">
      <c r="B65" s="114" t="s">
        <v>354</v>
      </c>
      <c r="C65" s="303" t="s">
        <v>353</v>
      </c>
      <c r="D65" s="303"/>
      <c r="E65" s="125" t="s">
        <v>366</v>
      </c>
      <c r="F65" s="125" t="s">
        <v>442</v>
      </c>
    </row>
    <row r="66" spans="2:6" s="92" customFormat="1" ht="15.95" customHeight="1">
      <c r="B66" s="125" t="s">
        <v>333</v>
      </c>
      <c r="C66" s="307" t="s">
        <v>413</v>
      </c>
      <c r="D66" s="307"/>
      <c r="E66" s="129">
        <f>PERC_SUBSTITUTO_FERIAS</f>
        <v>8.3333333333333321</v>
      </c>
      <c r="F66" s="130">
        <f>PERC_SUBSTITUTO_FERIAS%*(MOD_1_REMUNERACAO+MOD_2_ENCARGOS_BENEFICIOS+MOD_3_PROVISAO_RESCISAO)</f>
        <v>225.06876646018887</v>
      </c>
    </row>
    <row r="67" spans="2:6" s="92" customFormat="1" ht="15.95" customHeight="1">
      <c r="B67" s="125" t="s">
        <v>331</v>
      </c>
      <c r="C67" s="294" t="s">
        <v>415</v>
      </c>
      <c r="D67" s="294"/>
      <c r="E67" s="134">
        <f>PERC_SUBSTITUTO_AUSENCIAS_LEGAIS</f>
        <v>2.2222222222222223</v>
      </c>
      <c r="F67" s="132">
        <f>PERC_SUBSTITUTO_AUSENCIAS_LEGAIS%*(MOD_1_REMUNERACAO+MOD_2_ENCARGOS_BENEFICIOS+MOD_3_PROVISAO_RESCISAO)</f>
        <v>60.01833772271705</v>
      </c>
    </row>
    <row r="68" spans="2:6" s="92" customFormat="1" ht="15.95" customHeight="1">
      <c r="B68" s="125" t="s">
        <v>349</v>
      </c>
      <c r="C68" s="307" t="s">
        <v>417</v>
      </c>
      <c r="D68" s="307"/>
      <c r="E68" s="129">
        <f>PERC_SUBSTITUTO_LICENCA_PATERNIDADE</f>
        <v>3.5673555555555549E-2</v>
      </c>
      <c r="F68" s="130">
        <f>PERC_SUBSTITUTO_LICENCA_PATERNIDADE%*(MOD_1_REMUNERACAO+MOD_2_ENCARGOS_BENEFICIOS+MOD_3_PROVISAO_RESCISAO)</f>
        <v>0.9634803772965489</v>
      </c>
    </row>
    <row r="69" spans="2:6" s="92" customFormat="1" ht="16.5" customHeight="1">
      <c r="B69" s="125" t="s">
        <v>347</v>
      </c>
      <c r="C69" s="294" t="s">
        <v>419</v>
      </c>
      <c r="D69" s="294"/>
      <c r="E69" s="134">
        <f>PERC_SUBSTITUTO_ACID_TRAB</f>
        <v>1.85302229372558E-2</v>
      </c>
      <c r="F69" s="132">
        <f>PERC_SUBSTITUTO_ACID_TRAB%*(MOD_1_REMUNERACAO+MOD_2_ENCARGOS_BENEFICIOS+MOD_3_PROVISAO_RESCISAO)</f>
        <v>0.50046893024645533</v>
      </c>
    </row>
    <row r="70" spans="2:6" s="92" customFormat="1" ht="16.5" customHeight="1">
      <c r="B70" s="125" t="s">
        <v>345</v>
      </c>
      <c r="C70" s="307" t="s">
        <v>421</v>
      </c>
      <c r="D70" s="307"/>
      <c r="E70" s="129">
        <f>PERC_SUBSTITUTO_AFAST_MATERN</f>
        <v>0.14312918399999999</v>
      </c>
      <c r="F70" s="130">
        <f>PERC_SUBSTITUTO_AFAST_MATERN%*(MOD_1_REMUNERACAO+MOD_2_ENCARGOS_BENEFICIOS+MOD_3_PROVISAO_RESCISAO)</f>
        <v>3.8656690664800091</v>
      </c>
    </row>
    <row r="71" spans="2:6" s="92" customFormat="1">
      <c r="B71" s="125" t="s">
        <v>343</v>
      </c>
      <c r="C71" s="314" t="str">
        <f>OUTRAS_AUSENCIAS_DESCRICAO</f>
        <v>Outras Ausências (Especificar - em %)</v>
      </c>
      <c r="D71" s="314"/>
      <c r="E71" s="139">
        <f>PERC_SUBSTITUTO_OUTRAS_AUSENCIAS</f>
        <v>0</v>
      </c>
      <c r="F71" s="132">
        <f>PERC_SUBSTITUTO_OUTRAS_AUSENCIAS%*(MOD_1_REMUNERACAO+MOD_2_ENCARGOS_BENEFICIOS+MOD_3_PROVISAO_RESCISAO)</f>
        <v>0</v>
      </c>
    </row>
    <row r="72" spans="2:6" s="92" customFormat="1">
      <c r="B72" s="309" t="s">
        <v>406</v>
      </c>
      <c r="C72" s="309"/>
      <c r="D72" s="309"/>
      <c r="E72" s="309"/>
      <c r="F72" s="133">
        <f>SUM(F66:F71)</f>
        <v>290.4167225569289</v>
      </c>
    </row>
    <row r="73" spans="2:6" s="92" customFormat="1" ht="15" customHeight="1">
      <c r="B73" s="124" t="s">
        <v>450</v>
      </c>
      <c r="C73" s="89"/>
      <c r="D73" s="88"/>
      <c r="E73" s="87"/>
      <c r="F73" s="87"/>
    </row>
    <row r="74" spans="2:6" s="92" customFormat="1">
      <c r="B74" s="114" t="s">
        <v>336</v>
      </c>
      <c r="C74" s="309" t="s">
        <v>451</v>
      </c>
      <c r="D74" s="309"/>
      <c r="E74" s="309"/>
      <c r="F74" s="125" t="s">
        <v>442</v>
      </c>
    </row>
    <row r="75" spans="2:6" s="92" customFormat="1" ht="16.5" customHeight="1">
      <c r="B75" s="114" t="s">
        <v>333</v>
      </c>
      <c r="C75" s="307" t="s">
        <v>452</v>
      </c>
      <c r="D75" s="307"/>
      <c r="E75" s="307"/>
      <c r="F75" s="126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92" customFormat="1">
      <c r="B76" s="309" t="s">
        <v>406</v>
      </c>
      <c r="C76" s="309"/>
      <c r="D76" s="309"/>
      <c r="E76" s="309"/>
      <c r="F76" s="133">
        <f>SUM(F75)</f>
        <v>0</v>
      </c>
    </row>
    <row r="77" spans="2:6" ht="7.5" customHeight="1">
      <c r="B77" s="137"/>
      <c r="D77" s="138"/>
      <c r="E77" s="100"/>
      <c r="F77" s="100"/>
    </row>
    <row r="78" spans="2:6">
      <c r="B78" s="124" t="s">
        <v>453</v>
      </c>
      <c r="C78" s="89"/>
      <c r="D78" s="89"/>
      <c r="E78" s="87"/>
      <c r="F78" s="87"/>
    </row>
    <row r="79" spans="2:6" ht="15.75" customHeight="1">
      <c r="B79" s="140">
        <v>5</v>
      </c>
      <c r="C79" s="315" t="s">
        <v>454</v>
      </c>
      <c r="D79" s="315"/>
      <c r="E79" s="315"/>
      <c r="F79" s="141" t="s">
        <v>442</v>
      </c>
    </row>
    <row r="80" spans="2:6" ht="16.5" customHeight="1">
      <c r="B80" s="142" t="s">
        <v>333</v>
      </c>
      <c r="C80" s="316" t="s">
        <v>455</v>
      </c>
      <c r="D80" s="316"/>
      <c r="E80" s="316"/>
      <c r="F80" s="143">
        <f>[1]Uniforme!B9</f>
        <v>115.05</v>
      </c>
    </row>
    <row r="81" spans="2:6" ht="16.5" customHeight="1">
      <c r="B81" s="142" t="s">
        <v>331</v>
      </c>
      <c r="C81" s="313" t="s">
        <v>499</v>
      </c>
      <c r="D81" s="313"/>
      <c r="E81" s="313"/>
      <c r="F81" s="144">
        <v>106.33</v>
      </c>
    </row>
    <row r="82" spans="2:6" ht="16.5" customHeight="1">
      <c r="B82" s="142" t="s">
        <v>349</v>
      </c>
      <c r="C82" s="316" t="s">
        <v>500</v>
      </c>
      <c r="D82" s="316"/>
      <c r="E82" s="316"/>
      <c r="F82" s="143">
        <v>216.6</v>
      </c>
    </row>
    <row r="83" spans="2:6" ht="16.350000000000001" customHeight="1">
      <c r="B83" s="142" t="s">
        <v>347</v>
      </c>
      <c r="C83" s="317" t="s">
        <v>458</v>
      </c>
      <c r="D83" s="317"/>
      <c r="E83" s="317"/>
      <c r="F83" s="144">
        <v>0</v>
      </c>
    </row>
    <row r="84" spans="2:6" ht="16.5" customHeight="1">
      <c r="B84" s="315" t="s">
        <v>406</v>
      </c>
      <c r="C84" s="315"/>
      <c r="D84" s="315"/>
      <c r="E84" s="315"/>
      <c r="F84" s="145">
        <f>SUM(F80:F83)</f>
        <v>437.98</v>
      </c>
    </row>
    <row r="85" spans="2:6" ht="7.5" customHeight="1">
      <c r="B85" s="137"/>
      <c r="D85" s="138"/>
      <c r="E85" s="100"/>
      <c r="F85" s="100"/>
    </row>
    <row r="86" spans="2:6" ht="15" customHeight="1">
      <c r="B86" s="318" t="s">
        <v>459</v>
      </c>
      <c r="C86" s="318"/>
      <c r="D86" s="318"/>
      <c r="E86" s="318"/>
      <c r="F86" s="318"/>
    </row>
    <row r="87" spans="2:6">
      <c r="B87" s="114">
        <v>6</v>
      </c>
      <c r="C87" s="309" t="s">
        <v>460</v>
      </c>
      <c r="D87" s="309"/>
      <c r="E87" s="125" t="s">
        <v>366</v>
      </c>
      <c r="F87" s="125" t="s">
        <v>442</v>
      </c>
    </row>
    <row r="88" spans="2:6" ht="16.5" customHeight="1">
      <c r="B88" s="114" t="s">
        <v>333</v>
      </c>
      <c r="C88" s="307" t="s">
        <v>461</v>
      </c>
      <c r="D88" s="307"/>
      <c r="E88" s="146">
        <f>PERC_CUSTOS_INDIRETOS</f>
        <v>5.1533333333333298</v>
      </c>
      <c r="F88" s="130">
        <f>PERC_CUSTOS_INDIRETOS%*(MOD_1_REMUNERACAO+MOD_2_ENCARGOS_BENEFICIOS+MOD_3_PROVISAO_RESCISAO+MOD_4_CUSTO_REPOSICAO+MOD_5_INSUMOS)</f>
        <v>176.71923628141445</v>
      </c>
    </row>
    <row r="89" spans="2:6" ht="15.75" customHeight="1">
      <c r="B89" s="125" t="s">
        <v>331</v>
      </c>
      <c r="C89" s="294" t="s">
        <v>462</v>
      </c>
      <c r="D89" s="294"/>
      <c r="E89" s="147">
        <f>PERC_LUCRO</f>
        <v>5.0466666666666704</v>
      </c>
      <c r="F89" s="132">
        <f>PERC_LUCRO%*(MOD_1_REMUNERACAO+MOD_2_ENCARGOS_BENEFICIOS+MOD_3_PROVISAO_RESCISAO+MOD_4_CUSTO_REPOSICAO+MOD_5_INSUMOS+AL_6_A_CUSTOS_INDIRETOS)</f>
        <v>181.97983035766561</v>
      </c>
    </row>
    <row r="90" spans="2:6" ht="16.5" customHeight="1">
      <c r="B90" s="125" t="s">
        <v>349</v>
      </c>
      <c r="C90" s="307" t="s">
        <v>463</v>
      </c>
      <c r="D90" s="307"/>
      <c r="E90" s="148">
        <f>SUM(E91:E93)</f>
        <v>0.14250000000000002</v>
      </c>
      <c r="F90" s="130">
        <f>SUM(F91:F93)</f>
        <v>574.47412215328563</v>
      </c>
    </row>
    <row r="91" spans="2:6" ht="15.75" customHeight="1">
      <c r="B91" s="149" t="s">
        <v>464</v>
      </c>
      <c r="C91" s="319" t="s">
        <v>16</v>
      </c>
      <c r="D91" s="319"/>
      <c r="E91" s="150">
        <v>1.6500000000000001E-2</v>
      </c>
      <c r="F91" s="151">
        <f>(($F$30+$F$36+$F$47+$F$55+$F$61+$F$72+$F$76+$F$84+$F$88+$F$89)*E91)/(1-E91)</f>
        <v>63.549259055263406</v>
      </c>
    </row>
    <row r="92" spans="2:6" ht="16.5" customHeight="1">
      <c r="B92" s="149" t="s">
        <v>465</v>
      </c>
      <c r="C92" s="320" t="s">
        <v>466</v>
      </c>
      <c r="D92" s="320"/>
      <c r="E92" s="152">
        <v>7.5999999999999998E-2</v>
      </c>
      <c r="F92" s="153">
        <f>(($F$30+$F$36+$F$47+$F$55+$F$61+$F$72+$F$76+$F$84+$F$88+$F$89)*E92)/(1-E92)</f>
        <v>311.56060063916556</v>
      </c>
    </row>
    <row r="93" spans="2:6" s="154" customFormat="1" ht="16.5" customHeight="1">
      <c r="B93" s="149" t="s">
        <v>467</v>
      </c>
      <c r="C93" s="319" t="s">
        <v>468</v>
      </c>
      <c r="D93" s="319"/>
      <c r="E93" s="150">
        <v>0.05</v>
      </c>
      <c r="F93" s="151">
        <f>(($F$30+$F$36+$F$47+$F$55+$F$61+$F$72+$F$76+$F$84+$F$88+$F$89)*E93)/(1-E93)</f>
        <v>199.36426245885667</v>
      </c>
    </row>
    <row r="94" spans="2:6" s="154" customFormat="1">
      <c r="B94" s="309" t="s">
        <v>406</v>
      </c>
      <c r="C94" s="309"/>
      <c r="D94" s="309"/>
      <c r="E94" s="309"/>
      <c r="F94" s="155">
        <f>AL_6_A_CUSTOS_INDIRETOS+AL_6_B_LUCRO+AL_6_C_TRIBUTOS</f>
        <v>933.17318879236564</v>
      </c>
    </row>
    <row r="95" spans="2:6" s="154" customFormat="1" ht="20.25">
      <c r="B95" s="156" t="s">
        <v>469</v>
      </c>
      <c r="C95" s="157"/>
      <c r="D95" s="157"/>
      <c r="E95" s="157"/>
      <c r="F95" s="158"/>
    </row>
    <row r="96" spans="2:6" s="159" customFormat="1" ht="16.5" customHeight="1">
      <c r="B96" s="125" t="s">
        <v>470</v>
      </c>
      <c r="C96" s="303" t="s">
        <v>471</v>
      </c>
      <c r="D96" s="303"/>
      <c r="E96" s="303"/>
      <c r="F96" s="125" t="s">
        <v>472</v>
      </c>
    </row>
    <row r="97" spans="2:6" s="154" customFormat="1" ht="16.5" customHeight="1">
      <c r="B97" s="114">
        <v>1</v>
      </c>
      <c r="C97" s="307" t="s">
        <v>382</v>
      </c>
      <c r="D97" s="307"/>
      <c r="E97" s="307"/>
      <c r="F97" s="130">
        <f>MOD_1_REMUNERACAO</f>
        <v>1418.17</v>
      </c>
    </row>
    <row r="98" spans="2:6" s="160" customFormat="1" ht="16.5" customHeight="1">
      <c r="B98" s="125">
        <v>2</v>
      </c>
      <c r="C98" s="294" t="s">
        <v>473</v>
      </c>
      <c r="D98" s="294"/>
      <c r="E98" s="294"/>
      <c r="F98" s="132">
        <f>MOD_2_ENCARGOS_BENEFICIOS</f>
        <v>1244.8181999999999</v>
      </c>
    </row>
    <row r="99" spans="2:6" s="160" customFormat="1" ht="16.5" customHeight="1">
      <c r="B99" s="125">
        <v>3</v>
      </c>
      <c r="C99" s="307" t="s">
        <v>362</v>
      </c>
      <c r="D99" s="307"/>
      <c r="E99" s="307"/>
      <c r="F99" s="130">
        <f>MOD_3_PROVISAO_RESCISAO</f>
        <v>37.83699752226704</v>
      </c>
    </row>
    <row r="100" spans="2:6" s="160" customFormat="1" ht="16.5" customHeight="1">
      <c r="B100" s="125">
        <v>4</v>
      </c>
      <c r="C100" s="294" t="s">
        <v>474</v>
      </c>
      <c r="D100" s="294"/>
      <c r="E100" s="294"/>
      <c r="F100" s="132">
        <f>MOD_4_CUSTO_REPOSICAO</f>
        <v>290.4167225569289</v>
      </c>
    </row>
    <row r="101" spans="2:6" s="160" customFormat="1" ht="16.5" customHeight="1">
      <c r="B101" s="125">
        <v>5</v>
      </c>
      <c r="C101" s="307" t="s">
        <v>454</v>
      </c>
      <c r="D101" s="307"/>
      <c r="E101" s="307"/>
      <c r="F101" s="130">
        <f>MOD_5_INSUMOS</f>
        <v>437.98</v>
      </c>
    </row>
    <row r="102" spans="2:6" s="160" customFormat="1" ht="16.5" customHeight="1">
      <c r="B102" s="125">
        <v>6</v>
      </c>
      <c r="C102" s="294" t="s">
        <v>460</v>
      </c>
      <c r="D102" s="294"/>
      <c r="E102" s="294"/>
      <c r="F102" s="132">
        <f>MOD_6_CUSTOS_IND_LUCRO_TRIB</f>
        <v>933.17318879236564</v>
      </c>
    </row>
    <row r="103" spans="2:6" ht="16.5" customHeight="1">
      <c r="B103" s="321" t="s">
        <v>475</v>
      </c>
      <c r="C103" s="321"/>
      <c r="D103" s="321"/>
      <c r="E103" s="321"/>
      <c r="F103" s="161">
        <f>SUM(F97:F102)</f>
        <v>4362.3951088715621</v>
      </c>
    </row>
    <row r="104" spans="2:6" ht="16.5" customHeight="1">
      <c r="B104" s="322" t="s">
        <v>476</v>
      </c>
      <c r="C104" s="322"/>
      <c r="D104" s="322"/>
      <c r="E104" s="322"/>
      <c r="F104" s="162">
        <f>VALOR_TOTAL_EMPREGADO*EMPREG_POR_POSTO</f>
        <v>0</v>
      </c>
    </row>
    <row r="105" spans="2:6" ht="16.5" customHeight="1">
      <c r="B105" s="322" t="s">
        <v>477</v>
      </c>
      <c r="C105" s="322"/>
      <c r="D105" s="322"/>
      <c r="E105" s="322"/>
      <c r="F105" s="162">
        <f>VALOR_TOTAL_EMPREGADO*EMPREG_POR_POSTO*QTDE_POSTOS</f>
        <v>0</v>
      </c>
    </row>
  </sheetData>
  <sheetProtection sheet="1" objects="1" scenarios="1"/>
  <mergeCells count="94"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06464-7F87-4A9D-8DD1-0BD96F3AB01B}">
  <dimension ref="A1:AMJ106"/>
  <sheetViews>
    <sheetView showGridLines="0" zoomScale="140" zoomScaleNormal="140" workbookViewId="0">
      <selection activeCell="F104" sqref="F104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customFormat="1" ht="20.25">
      <c r="B1" s="323" t="s">
        <v>59</v>
      </c>
      <c r="C1" s="324"/>
      <c r="D1" s="324"/>
      <c r="E1" s="324"/>
      <c r="F1" s="325"/>
    </row>
    <row r="2" spans="2:6" customFormat="1" ht="20.25">
      <c r="B2" s="286" t="s">
        <v>423</v>
      </c>
      <c r="C2" s="286"/>
      <c r="D2" s="286"/>
      <c r="E2" s="108" t="s">
        <v>424</v>
      </c>
      <c r="F2" s="163" t="str">
        <f>DATA_DO_ORCAMENTO_ESTIMATIVO</f>
        <v>XX/XX/20XX</v>
      </c>
    </row>
    <row r="3" spans="2:6" s="92" customFormat="1" ht="25.5">
      <c r="B3" s="287" t="s">
        <v>425</v>
      </c>
      <c r="C3" s="287"/>
      <c r="D3" s="287"/>
      <c r="E3" s="287"/>
      <c r="F3" s="287"/>
    </row>
    <row r="4" spans="2:6" s="92" customFormat="1" ht="15.95" customHeight="1">
      <c r="B4" s="288" t="s">
        <v>1</v>
      </c>
      <c r="C4" s="288"/>
      <c r="D4" s="288"/>
      <c r="E4" s="288"/>
      <c r="F4" s="288"/>
    </row>
    <row r="5" spans="2:6" s="92" customFormat="1" ht="15.95" customHeight="1">
      <c r="B5" s="284" t="s">
        <v>2</v>
      </c>
      <c r="C5" s="284"/>
      <c r="D5" s="289" t="s">
        <v>20</v>
      </c>
      <c r="E5" s="289"/>
      <c r="F5" s="289"/>
    </row>
    <row r="6" spans="2:6" s="92" customFormat="1" ht="15.75" customHeight="1">
      <c r="B6" s="290" t="s">
        <v>3</v>
      </c>
      <c r="C6" s="290"/>
      <c r="D6" s="291" t="str">
        <f>MODALIDADE_DE_LICITACAO</f>
        <v>Pregão nº</v>
      </c>
      <c r="E6" s="291"/>
      <c r="F6" s="111" t="s">
        <v>513</v>
      </c>
    </row>
    <row r="7" spans="2:6" s="92" customFormat="1" ht="15.75" customHeight="1">
      <c r="B7" s="292" t="s">
        <v>426</v>
      </c>
      <c r="C7" s="292"/>
      <c r="D7" s="292"/>
      <c r="E7" s="292"/>
      <c r="F7" s="292"/>
    </row>
    <row r="8" spans="2:6" s="92" customFormat="1" ht="18" customHeight="1">
      <c r="B8" s="164" t="s">
        <v>333</v>
      </c>
      <c r="C8" s="284" t="s">
        <v>427</v>
      </c>
      <c r="D8" s="284"/>
      <c r="E8" s="284"/>
      <c r="F8" s="165" t="str">
        <f>DATA_APRESENTACAO_PROPOSTA</f>
        <v>XX/XX/20XX</v>
      </c>
    </row>
    <row r="9" spans="2:6" s="92" customFormat="1" ht="15.95" customHeight="1">
      <c r="B9" s="166" t="s">
        <v>331</v>
      </c>
      <c r="C9" s="115" t="s">
        <v>428</v>
      </c>
      <c r="D9" s="293" t="s">
        <v>484</v>
      </c>
      <c r="E9" s="293"/>
      <c r="F9" s="293"/>
    </row>
    <row r="10" spans="2:6" s="92" customFormat="1" ht="18.75" customHeight="1">
      <c r="B10" s="164" t="s">
        <v>349</v>
      </c>
      <c r="C10" s="284" t="s">
        <v>429</v>
      </c>
      <c r="D10" s="284"/>
      <c r="E10" s="284"/>
      <c r="F10" s="165" t="s">
        <v>430</v>
      </c>
    </row>
    <row r="11" spans="2:6" s="92" customFormat="1" ht="15.95" customHeight="1">
      <c r="B11" s="166" t="s">
        <v>347</v>
      </c>
      <c r="C11" s="295" t="s">
        <v>431</v>
      </c>
      <c r="D11" s="295"/>
      <c r="E11" s="295"/>
      <c r="F11" s="116">
        <f>NUMERO_MESES_EXEC_CONTRATUAL</f>
        <v>12</v>
      </c>
    </row>
    <row r="12" spans="2:6" s="92" customFormat="1">
      <c r="B12" s="166" t="s">
        <v>345</v>
      </c>
      <c r="C12" s="296" t="s">
        <v>432</v>
      </c>
      <c r="D12" s="296"/>
      <c r="E12" s="296"/>
      <c r="F12" s="110">
        <v>1</v>
      </c>
    </row>
    <row r="13" spans="2:6" s="119" customFormat="1" ht="15" customHeight="1">
      <c r="B13" s="117" t="s">
        <v>433</v>
      </c>
      <c r="C13" s="118"/>
      <c r="D13" s="118"/>
      <c r="E13" s="118"/>
      <c r="F13" s="118"/>
    </row>
    <row r="14" spans="2:6" s="92" customFormat="1">
      <c r="B14" s="164">
        <v>1</v>
      </c>
      <c r="C14" s="284" t="s">
        <v>434</v>
      </c>
      <c r="D14" s="284"/>
      <c r="E14" s="352" t="s">
        <v>480</v>
      </c>
      <c r="F14" s="353"/>
    </row>
    <row r="15" spans="2:6" s="92" customFormat="1">
      <c r="B15" s="164">
        <v>2</v>
      </c>
      <c r="C15" s="120" t="s">
        <v>436</v>
      </c>
      <c r="D15" s="354" t="s">
        <v>481</v>
      </c>
      <c r="E15" s="355"/>
      <c r="F15" s="356"/>
    </row>
    <row r="16" spans="2:6" s="92" customFormat="1" ht="15" customHeight="1">
      <c r="B16" s="164">
        <v>3</v>
      </c>
      <c r="C16" s="121" t="s">
        <v>438</v>
      </c>
      <c r="D16" s="289" t="str">
        <f>IF(CATEGORIA_PROFISSIONAL="","",CATEGORIA_PROFISSIONAL)</f>
        <v/>
      </c>
      <c r="E16" s="289"/>
      <c r="F16" s="289"/>
    </row>
    <row r="17" spans="2:6" s="92" customFormat="1" ht="15" customHeight="1">
      <c r="B17" s="164">
        <v>4</v>
      </c>
      <c r="C17" s="290" t="s">
        <v>439</v>
      </c>
      <c r="D17" s="290"/>
      <c r="E17" s="290"/>
      <c r="F17" s="122">
        <v>44774</v>
      </c>
    </row>
    <row r="18" spans="2:6" s="123" customFormat="1" ht="20.25" customHeight="1">
      <c r="B18" s="299" t="s">
        <v>440</v>
      </c>
      <c r="C18" s="299"/>
      <c r="D18" s="299"/>
      <c r="E18" s="299"/>
      <c r="F18" s="299"/>
    </row>
    <row r="19" spans="2:6" customFormat="1">
      <c r="B19" s="329" t="s">
        <v>441</v>
      </c>
      <c r="C19" s="330"/>
      <c r="D19" s="330"/>
      <c r="E19" s="330"/>
      <c r="F19" s="331"/>
    </row>
    <row r="20" spans="2:6" customFormat="1">
      <c r="B20" s="124" t="s">
        <v>383</v>
      </c>
      <c r="C20" s="77"/>
      <c r="D20" s="77"/>
      <c r="E20" s="100"/>
      <c r="F20" s="100"/>
    </row>
    <row r="21" spans="2:6" customFormat="1" ht="16.5" customHeight="1">
      <c r="B21" s="166">
        <v>1</v>
      </c>
      <c r="C21" s="332" t="s">
        <v>382</v>
      </c>
      <c r="D21" s="333"/>
      <c r="E21" s="334"/>
      <c r="F21" s="168" t="s">
        <v>442</v>
      </c>
    </row>
    <row r="22" spans="2:6" customFormat="1" ht="16.350000000000001" customHeight="1">
      <c r="B22" s="166" t="s">
        <v>333</v>
      </c>
      <c r="C22" s="335" t="s">
        <v>443</v>
      </c>
      <c r="D22" s="336"/>
      <c r="E22" s="337"/>
      <c r="F22" s="169"/>
    </row>
    <row r="23" spans="2:6" customFormat="1" ht="16.5" customHeight="1">
      <c r="B23" s="166" t="s">
        <v>331</v>
      </c>
      <c r="C23" s="338" t="s">
        <v>444</v>
      </c>
      <c r="D23" s="339"/>
      <c r="E23" s="340"/>
      <c r="F23" s="170"/>
    </row>
    <row r="24" spans="2:6" customFormat="1" ht="15.75" customHeight="1">
      <c r="B24" s="166" t="s">
        <v>349</v>
      </c>
      <c r="C24" s="341" t="s">
        <v>445</v>
      </c>
      <c r="D24" s="342"/>
      <c r="E24" s="343"/>
      <c r="F24" s="169"/>
    </row>
    <row r="25" spans="2:6" customFormat="1" ht="15.75" customHeight="1">
      <c r="B25" s="166" t="s">
        <v>347</v>
      </c>
      <c r="C25" s="338" t="s">
        <v>446</v>
      </c>
      <c r="D25" s="339"/>
      <c r="E25" s="340"/>
      <c r="F25" s="170"/>
    </row>
    <row r="26" spans="2:6" customFormat="1" ht="15.75" customHeight="1">
      <c r="B26" s="166" t="s">
        <v>345</v>
      </c>
      <c r="C26" s="344" t="s">
        <v>447</v>
      </c>
      <c r="D26" s="345"/>
      <c r="E26" s="346"/>
      <c r="F26" s="169"/>
    </row>
    <row r="27" spans="2:6" customFormat="1">
      <c r="B27" s="166" t="s">
        <v>343</v>
      </c>
      <c r="C27" s="326" t="str">
        <f>OUTROS_REMUNERACAO_1_DESCRICAO</f>
        <v>Outras Remunerações 1 (Especificar)</v>
      </c>
      <c r="D27" s="327"/>
      <c r="E27" s="328"/>
      <c r="F27" s="170"/>
    </row>
    <row r="28" spans="2:6" customFormat="1">
      <c r="B28" s="166" t="s">
        <v>341</v>
      </c>
      <c r="C28" s="335" t="str">
        <f>OUTROS_REMUNERACAO_2_DESCRICAO</f>
        <v>Outras Remunerações 2 (Especificar)</v>
      </c>
      <c r="D28" s="336"/>
      <c r="E28" s="337"/>
      <c r="F28" s="169"/>
    </row>
    <row r="29" spans="2:6" customFormat="1">
      <c r="B29" s="166" t="s">
        <v>339</v>
      </c>
      <c r="C29" s="326" t="str">
        <f>OUTROS_REMUNERACAO_3_DESCRICAO</f>
        <v>Outras Remunerações 3 (Especificar)</v>
      </c>
      <c r="D29" s="327"/>
      <c r="E29" s="328"/>
      <c r="F29" s="170"/>
    </row>
    <row r="30" spans="2:6" customFormat="1" ht="16.5" customHeight="1">
      <c r="B30" s="347" t="s">
        <v>406</v>
      </c>
      <c r="C30" s="347"/>
      <c r="D30" s="347"/>
      <c r="E30" s="347"/>
      <c r="F30" s="171"/>
    </row>
    <row r="31" spans="2:6" customFormat="1">
      <c r="B31" s="124" t="s">
        <v>386</v>
      </c>
      <c r="C31" s="77"/>
      <c r="D31" s="77"/>
      <c r="E31" s="102"/>
      <c r="F31" s="102"/>
    </row>
    <row r="32" spans="2:6" customFormat="1">
      <c r="B32" s="124" t="s">
        <v>387</v>
      </c>
      <c r="C32" s="89"/>
      <c r="D32" s="88"/>
      <c r="E32" s="87"/>
      <c r="F32" s="87"/>
    </row>
    <row r="33" spans="2:6" customFormat="1">
      <c r="B33" s="166" t="s">
        <v>388</v>
      </c>
      <c r="C33" s="348" t="s">
        <v>389</v>
      </c>
      <c r="D33" s="348"/>
      <c r="E33" s="168" t="s">
        <v>366</v>
      </c>
      <c r="F33" s="168" t="s">
        <v>442</v>
      </c>
    </row>
    <row r="34" spans="2:6" customFormat="1" ht="16.5" customHeight="1">
      <c r="B34" s="166" t="s">
        <v>333</v>
      </c>
      <c r="C34" s="307" t="s">
        <v>391</v>
      </c>
      <c r="D34" s="307"/>
      <c r="E34" s="129">
        <f>PERC_DEC_TERC</f>
        <v>8.3333333333333304</v>
      </c>
      <c r="F34" s="172"/>
    </row>
    <row r="35" spans="2:6" s="77" customFormat="1" ht="16.5" customHeight="1">
      <c r="B35" s="168" t="s">
        <v>331</v>
      </c>
      <c r="C35" s="294" t="s">
        <v>393</v>
      </c>
      <c r="D35" s="294"/>
      <c r="E35" s="131">
        <f>PERC_ADIC_FERIAS</f>
        <v>2.7777777777777799</v>
      </c>
      <c r="F35" s="173"/>
    </row>
    <row r="36" spans="2:6" s="81" customFormat="1">
      <c r="B36" s="348" t="s">
        <v>406</v>
      </c>
      <c r="C36" s="348"/>
      <c r="D36" s="348"/>
      <c r="E36" s="348"/>
      <c r="F36" s="174"/>
    </row>
    <row r="37" spans="2:6" s="81" customFormat="1" ht="31.5" customHeight="1">
      <c r="B37" s="305" t="s">
        <v>395</v>
      </c>
      <c r="C37" s="305"/>
      <c r="D37" s="305"/>
      <c r="E37" s="305"/>
      <c r="F37" s="305"/>
    </row>
    <row r="38" spans="2:6" s="81" customFormat="1" ht="34.5" customHeight="1">
      <c r="B38" s="166" t="s">
        <v>396</v>
      </c>
      <c r="C38" s="349" t="s">
        <v>397</v>
      </c>
      <c r="D38" s="349"/>
      <c r="E38" s="168" t="s">
        <v>366</v>
      </c>
      <c r="F38" s="168" t="s">
        <v>442</v>
      </c>
    </row>
    <row r="39" spans="2:6" customFormat="1" ht="16.5" customHeight="1">
      <c r="B39" s="166" t="s">
        <v>333</v>
      </c>
      <c r="C39" s="307" t="s">
        <v>398</v>
      </c>
      <c r="D39" s="307"/>
      <c r="E39" s="175">
        <f>PERC_INSS</f>
        <v>20</v>
      </c>
      <c r="F39" s="172"/>
    </row>
    <row r="40" spans="2:6" s="92" customFormat="1" ht="16.5" customHeight="1">
      <c r="B40" s="168" t="s">
        <v>331</v>
      </c>
      <c r="C40" s="294" t="s">
        <v>399</v>
      </c>
      <c r="D40" s="294"/>
      <c r="E40" s="176">
        <f>PERC_SAL_EDUCACAO</f>
        <v>2.5</v>
      </c>
      <c r="F40" s="173"/>
    </row>
    <row r="41" spans="2:6" s="92" customFormat="1" ht="16.5" customHeight="1">
      <c r="B41" s="168" t="s">
        <v>349</v>
      </c>
      <c r="C41" s="307" t="s">
        <v>400</v>
      </c>
      <c r="D41" s="307"/>
      <c r="E41" s="175">
        <f>PERC_RAT</f>
        <v>3</v>
      </c>
      <c r="F41" s="172"/>
    </row>
    <row r="42" spans="2:6" s="92" customFormat="1" ht="16.5" customHeight="1">
      <c r="B42" s="168" t="s">
        <v>347</v>
      </c>
      <c r="C42" s="294" t="s">
        <v>401</v>
      </c>
      <c r="D42" s="294"/>
      <c r="E42" s="177">
        <f>PERC_SESC</f>
        <v>1.5</v>
      </c>
      <c r="F42" s="173"/>
    </row>
    <row r="43" spans="2:6" s="92" customFormat="1" ht="16.5" customHeight="1">
      <c r="B43" s="168" t="s">
        <v>345</v>
      </c>
      <c r="C43" s="307" t="s">
        <v>402</v>
      </c>
      <c r="D43" s="307"/>
      <c r="E43" s="175">
        <f>PERC_SENAC</f>
        <v>1</v>
      </c>
      <c r="F43" s="172"/>
    </row>
    <row r="44" spans="2:6" s="92" customFormat="1" ht="16.5" customHeight="1">
      <c r="B44" s="168" t="s">
        <v>343</v>
      </c>
      <c r="C44" s="294" t="s">
        <v>403</v>
      </c>
      <c r="D44" s="294"/>
      <c r="E44" s="176">
        <f>PERC_SEBRAE</f>
        <v>0.6</v>
      </c>
      <c r="F44" s="173"/>
    </row>
    <row r="45" spans="2:6" s="92" customFormat="1" ht="16.5" customHeight="1">
      <c r="B45" s="168" t="s">
        <v>341</v>
      </c>
      <c r="C45" s="307" t="s">
        <v>404</v>
      </c>
      <c r="D45" s="307"/>
      <c r="E45" s="175">
        <f>PERC_INCRA</f>
        <v>0.2</v>
      </c>
      <c r="F45" s="172"/>
    </row>
    <row r="46" spans="2:6" customFormat="1" ht="16.5" customHeight="1">
      <c r="B46" s="168" t="s">
        <v>339</v>
      </c>
      <c r="C46" s="294" t="s">
        <v>405</v>
      </c>
      <c r="D46" s="294"/>
      <c r="E46" s="176">
        <f>PERC_FGTS</f>
        <v>8</v>
      </c>
      <c r="F46" s="173"/>
    </row>
    <row r="47" spans="2:6" customFormat="1">
      <c r="B47" s="348" t="s">
        <v>406</v>
      </c>
      <c r="C47" s="348"/>
      <c r="D47" s="348"/>
      <c r="E47" s="348"/>
      <c r="F47" s="178"/>
    </row>
    <row r="48" spans="2:6" customFormat="1" ht="15.75" customHeight="1">
      <c r="B48" s="124" t="s">
        <v>370</v>
      </c>
      <c r="C48" s="92"/>
      <c r="D48" s="92"/>
      <c r="E48" s="92"/>
      <c r="F48" s="92"/>
    </row>
    <row r="49" spans="2:7" customFormat="1" ht="15.75" customHeight="1">
      <c r="B49" s="166" t="s">
        <v>369</v>
      </c>
      <c r="C49" s="347" t="s">
        <v>368</v>
      </c>
      <c r="D49" s="347"/>
      <c r="E49" s="347"/>
      <c r="F49" s="168" t="s">
        <v>442</v>
      </c>
      <c r="G49" s="77"/>
    </row>
    <row r="50" spans="2:7" customFormat="1" ht="16.350000000000001" customHeight="1">
      <c r="B50" s="164" t="s">
        <v>333</v>
      </c>
      <c r="C50" s="307" t="s">
        <v>448</v>
      </c>
      <c r="D50" s="307"/>
      <c r="E50" s="307"/>
      <c r="F50" s="172"/>
      <c r="G50" s="77"/>
    </row>
    <row r="51" spans="2:7" s="81" customFormat="1" ht="16.5" customHeight="1">
      <c r="B51" s="164" t="s">
        <v>331</v>
      </c>
      <c r="C51" s="294" t="s">
        <v>449</v>
      </c>
      <c r="D51" s="294"/>
      <c r="E51" s="294"/>
      <c r="F51" s="173"/>
      <c r="G51" s="136"/>
    </row>
    <row r="52" spans="2:7" s="81" customFormat="1">
      <c r="B52" s="164" t="s">
        <v>349</v>
      </c>
      <c r="C52" s="304" t="str">
        <f>OUTROS_BENEFICIOS_1_DESCRICAO</f>
        <v>Outros Benefícios 1 (Especificar)</v>
      </c>
      <c r="D52" s="304"/>
      <c r="E52" s="304"/>
      <c r="F52" s="172"/>
    </row>
    <row r="53" spans="2:7" s="81" customFormat="1">
      <c r="B53" s="164" t="s">
        <v>347</v>
      </c>
      <c r="C53" s="308" t="str">
        <f>OUTROS_BENEFICIOS_2_DESCRICAO</f>
        <v>Outros Benefícios 2 (Especificar)</v>
      </c>
      <c r="D53" s="308"/>
      <c r="E53" s="308"/>
      <c r="F53" s="173"/>
    </row>
    <row r="54" spans="2:7" s="81" customFormat="1">
      <c r="B54" s="164" t="s">
        <v>345</v>
      </c>
      <c r="C54" s="304" t="str">
        <f>OUTROS_BENEFICIOS_3_DESCRICAO</f>
        <v>Outros Benefícios 3 (Especificar)</v>
      </c>
      <c r="D54" s="304"/>
      <c r="E54" s="304"/>
      <c r="F54" s="172"/>
    </row>
    <row r="55" spans="2:7" s="81" customFormat="1" ht="15" customHeight="1">
      <c r="B55" s="347" t="s">
        <v>406</v>
      </c>
      <c r="C55" s="347"/>
      <c r="D55" s="347"/>
      <c r="E55" s="347"/>
      <c r="F55" s="171"/>
    </row>
    <row r="56" spans="2:7" s="81" customFormat="1">
      <c r="B56" s="124" t="s">
        <v>363</v>
      </c>
      <c r="C56" s="89"/>
      <c r="D56" s="88"/>
      <c r="E56" s="87"/>
      <c r="F56" s="87"/>
    </row>
    <row r="57" spans="2:7" s="81" customFormat="1" ht="15" customHeight="1">
      <c r="B57" s="166">
        <v>3</v>
      </c>
      <c r="C57" s="348" t="s">
        <v>362</v>
      </c>
      <c r="D57" s="348"/>
      <c r="E57" s="168" t="s">
        <v>366</v>
      </c>
      <c r="F57" s="168" t="s">
        <v>442</v>
      </c>
    </row>
    <row r="58" spans="2:7" s="81" customFormat="1">
      <c r="B58" s="166" t="s">
        <v>333</v>
      </c>
      <c r="C58" s="311" t="s">
        <v>407</v>
      </c>
      <c r="D58" s="311"/>
      <c r="E58" s="175">
        <f>PERC_AVISO_PREVIO_IND</f>
        <v>0.29105124999999998</v>
      </c>
      <c r="F58" s="172"/>
    </row>
    <row r="59" spans="2:7" s="81" customFormat="1">
      <c r="B59" s="168" t="s">
        <v>331</v>
      </c>
      <c r="C59" s="312" t="s">
        <v>409</v>
      </c>
      <c r="D59" s="312"/>
      <c r="E59" s="176">
        <f>PERC_AVISO_PREVIO_TRAB</f>
        <v>1.15572693055556</v>
      </c>
      <c r="F59" s="173"/>
    </row>
    <row r="60" spans="2:7" s="92" customFormat="1">
      <c r="B60" s="168" t="s">
        <v>349</v>
      </c>
      <c r="C60" s="311" t="s">
        <v>411</v>
      </c>
      <c r="D60" s="311"/>
      <c r="E60" s="175">
        <f>PERC_MULTA_FGTS_AV_PREV_TRAB</f>
        <v>0.04</v>
      </c>
      <c r="F60" s="172"/>
    </row>
    <row r="61" spans="2:7" s="92" customFormat="1">
      <c r="B61" s="348" t="s">
        <v>406</v>
      </c>
      <c r="C61" s="348"/>
      <c r="D61" s="348"/>
      <c r="E61" s="348"/>
      <c r="F61" s="174"/>
    </row>
    <row r="62" spans="2:7" customFormat="1" ht="7.5" customHeight="1">
      <c r="B62" s="137"/>
      <c r="C62" s="77"/>
      <c r="D62" s="138"/>
      <c r="E62" s="100"/>
      <c r="F62" s="100"/>
      <c r="G62" s="77"/>
    </row>
    <row r="63" spans="2:7" s="92" customFormat="1" ht="15.95" customHeight="1">
      <c r="B63" s="124" t="s">
        <v>356</v>
      </c>
      <c r="C63" s="89"/>
      <c r="D63" s="88"/>
      <c r="E63" s="77"/>
      <c r="F63" s="77"/>
    </row>
    <row r="64" spans="2:7" s="92" customFormat="1" ht="15.95" customHeight="1">
      <c r="B64" s="124" t="s">
        <v>355</v>
      </c>
      <c r="C64" s="89"/>
      <c r="D64" s="88"/>
      <c r="E64" s="87"/>
      <c r="F64" s="87"/>
    </row>
    <row r="65" spans="2:6" s="92" customFormat="1" ht="16.5" customHeight="1">
      <c r="B65" s="166" t="s">
        <v>354</v>
      </c>
      <c r="C65" s="347" t="s">
        <v>353</v>
      </c>
      <c r="D65" s="347"/>
      <c r="E65" s="168" t="s">
        <v>366</v>
      </c>
      <c r="F65" s="168" t="s">
        <v>442</v>
      </c>
    </row>
    <row r="66" spans="2:6" s="92" customFormat="1" ht="15.95" customHeight="1">
      <c r="B66" s="168" t="s">
        <v>333</v>
      </c>
      <c r="C66" s="307" t="s">
        <v>413</v>
      </c>
      <c r="D66" s="307"/>
      <c r="E66" s="129">
        <f>PERC_SUBSTITUTO_FERIAS</f>
        <v>8.3333333333333304</v>
      </c>
      <c r="F66" s="172"/>
    </row>
    <row r="67" spans="2:6" s="92" customFormat="1" ht="15.95" customHeight="1">
      <c r="B67" s="168" t="s">
        <v>331</v>
      </c>
      <c r="C67" s="294" t="s">
        <v>415</v>
      </c>
      <c r="D67" s="294"/>
      <c r="E67" s="176">
        <f>PERC_SUBSTITUTO_AUSENCIAS_LEGAIS</f>
        <v>2.2222222222222201</v>
      </c>
      <c r="F67" s="173"/>
    </row>
    <row r="68" spans="2:6" s="92" customFormat="1" ht="15.95" customHeight="1">
      <c r="B68" s="168" t="s">
        <v>349</v>
      </c>
      <c r="C68" s="307" t="s">
        <v>417</v>
      </c>
      <c r="D68" s="307"/>
      <c r="E68" s="175">
        <f>PERC_SUBSTITUTO_LICENCA_PATERNIDADE</f>
        <v>3.56735555555555E-2</v>
      </c>
      <c r="F68" s="172"/>
    </row>
    <row r="69" spans="2:6" s="92" customFormat="1" ht="16.5" customHeight="1">
      <c r="B69" s="168" t="s">
        <v>347</v>
      </c>
      <c r="C69" s="294" t="s">
        <v>419</v>
      </c>
      <c r="D69" s="294"/>
      <c r="E69" s="176">
        <f>PERC_SUBSTITUTO_ACID_TRAB</f>
        <v>1.85302229372558E-2</v>
      </c>
      <c r="F69" s="173"/>
    </row>
    <row r="70" spans="2:6" s="92" customFormat="1" ht="16.5" customHeight="1">
      <c r="B70" s="168" t="s">
        <v>345</v>
      </c>
      <c r="C70" s="307" t="s">
        <v>421</v>
      </c>
      <c r="D70" s="307"/>
      <c r="E70" s="175">
        <f>PERC_SUBSTITUTO_AFAST_MATERN</f>
        <v>0.14312918399999999</v>
      </c>
      <c r="F70" s="172"/>
    </row>
    <row r="71" spans="2:6" s="92" customFormat="1">
      <c r="B71" s="168" t="s">
        <v>343</v>
      </c>
      <c r="C71" s="314" t="str">
        <f>OUTRAS_AUSENCIAS_DESCRICAO</f>
        <v>Outras Ausências (Especificar - em %)</v>
      </c>
      <c r="D71" s="314"/>
      <c r="E71" s="179">
        <f>PERC_SUBSTITUTO_OUTRAS_AUSENCIAS</f>
        <v>0</v>
      </c>
      <c r="F71" s="173"/>
    </row>
    <row r="72" spans="2:6" s="92" customFormat="1">
      <c r="B72" s="348" t="s">
        <v>406</v>
      </c>
      <c r="C72" s="348"/>
      <c r="D72" s="348"/>
      <c r="E72" s="348"/>
      <c r="F72" s="174"/>
    </row>
    <row r="73" spans="2:6" s="92" customFormat="1" ht="15" customHeight="1">
      <c r="B73" s="124" t="s">
        <v>450</v>
      </c>
      <c r="C73" s="89"/>
      <c r="D73" s="88"/>
      <c r="E73" s="87"/>
      <c r="F73" s="87"/>
    </row>
    <row r="74" spans="2:6" s="92" customFormat="1">
      <c r="B74" s="166" t="s">
        <v>336</v>
      </c>
      <c r="C74" s="348" t="s">
        <v>451</v>
      </c>
      <c r="D74" s="348"/>
      <c r="E74" s="348"/>
      <c r="F74" s="168" t="s">
        <v>442</v>
      </c>
    </row>
    <row r="75" spans="2:6" s="92" customFormat="1" ht="16.5" customHeight="1">
      <c r="B75" s="166" t="s">
        <v>333</v>
      </c>
      <c r="C75" s="307" t="s">
        <v>452</v>
      </c>
      <c r="D75" s="307"/>
      <c r="E75" s="307"/>
      <c r="F75" s="169"/>
    </row>
    <row r="76" spans="2:6" s="92" customFormat="1">
      <c r="B76" s="348" t="s">
        <v>406</v>
      </c>
      <c r="C76" s="348"/>
      <c r="D76" s="348"/>
      <c r="E76" s="348"/>
      <c r="F76" s="174"/>
    </row>
    <row r="77" spans="2:6" customFormat="1" ht="7.5" customHeight="1">
      <c r="B77" s="137"/>
      <c r="C77" s="77"/>
      <c r="D77" s="138"/>
      <c r="E77" s="100"/>
      <c r="F77" s="100"/>
    </row>
    <row r="78" spans="2:6" customFormat="1">
      <c r="B78" s="124" t="s">
        <v>453</v>
      </c>
      <c r="C78" s="89"/>
      <c r="D78" s="89"/>
      <c r="E78" s="87"/>
      <c r="F78" s="87"/>
    </row>
    <row r="79" spans="2:6" customFormat="1" ht="15.75" customHeight="1">
      <c r="B79" s="180">
        <v>5</v>
      </c>
      <c r="C79" s="350" t="s">
        <v>454</v>
      </c>
      <c r="D79" s="350"/>
      <c r="E79" s="350"/>
      <c r="F79" s="181" t="s">
        <v>442</v>
      </c>
    </row>
    <row r="80" spans="2:6" customFormat="1" ht="16.5" customHeight="1">
      <c r="B80" s="182" t="s">
        <v>333</v>
      </c>
      <c r="C80" s="316" t="s">
        <v>455</v>
      </c>
      <c r="D80" s="316"/>
      <c r="E80" s="316"/>
      <c r="F80" s="183"/>
    </row>
    <row r="81" spans="2:6" customFormat="1" ht="16.5" customHeight="1">
      <c r="B81" s="182" t="s">
        <v>331</v>
      </c>
      <c r="C81" s="313" t="s">
        <v>456</v>
      </c>
      <c r="D81" s="313"/>
      <c r="E81" s="313"/>
      <c r="F81" s="184"/>
    </row>
    <row r="82" spans="2:6" customFormat="1" ht="16.5" customHeight="1">
      <c r="B82" s="182" t="s">
        <v>349</v>
      </c>
      <c r="C82" s="316" t="s">
        <v>457</v>
      </c>
      <c r="D82" s="316"/>
      <c r="E82" s="316"/>
      <c r="F82" s="183"/>
    </row>
    <row r="83" spans="2:6" customFormat="1" ht="16.350000000000001" customHeight="1">
      <c r="B83" s="182" t="s">
        <v>347</v>
      </c>
      <c r="C83" s="317" t="s">
        <v>458</v>
      </c>
      <c r="D83" s="317"/>
      <c r="E83" s="317"/>
      <c r="F83" s="184"/>
    </row>
    <row r="84" spans="2:6" customFormat="1" ht="16.5" customHeight="1">
      <c r="B84" s="350" t="s">
        <v>406</v>
      </c>
      <c r="C84" s="350"/>
      <c r="D84" s="350"/>
      <c r="E84" s="350"/>
      <c r="F84" s="185"/>
    </row>
    <row r="85" spans="2:6" customFormat="1" ht="7.5" customHeight="1">
      <c r="B85" s="137"/>
      <c r="C85" s="77"/>
      <c r="D85" s="138"/>
      <c r="E85" s="100"/>
      <c r="F85" s="100"/>
    </row>
    <row r="86" spans="2:6" customFormat="1" ht="15" customHeight="1">
      <c r="B86" s="318" t="s">
        <v>459</v>
      </c>
      <c r="C86" s="318"/>
      <c r="D86" s="318"/>
      <c r="E86" s="318"/>
      <c r="F86" s="318"/>
    </row>
    <row r="87" spans="2:6" customFormat="1">
      <c r="B87" s="166">
        <v>6</v>
      </c>
      <c r="C87" s="348" t="s">
        <v>460</v>
      </c>
      <c r="D87" s="348"/>
      <c r="E87" s="168" t="s">
        <v>366</v>
      </c>
      <c r="F87" s="168" t="s">
        <v>442</v>
      </c>
    </row>
    <row r="88" spans="2:6" customFormat="1" ht="16.5" customHeight="1">
      <c r="B88" s="166" t="s">
        <v>333</v>
      </c>
      <c r="C88" s="307" t="s">
        <v>461</v>
      </c>
      <c r="D88" s="307"/>
      <c r="E88" s="203">
        <f>'Cálculo do BDI'!C20+'Cálculo do BDI'!C21+'Cálculo do BDI'!C22+'Cálculo do BDI'!C23</f>
        <v>5.1500000000000004E-2</v>
      </c>
      <c r="F88" s="172"/>
    </row>
    <row r="89" spans="2:6" customFormat="1" ht="15.75" customHeight="1">
      <c r="B89" s="168" t="s">
        <v>331</v>
      </c>
      <c r="C89" s="294" t="s">
        <v>462</v>
      </c>
      <c r="D89" s="294"/>
      <c r="E89" s="204">
        <f>'Cálculo do BDI'!C24</f>
        <v>5.0500000000000003E-2</v>
      </c>
      <c r="F89" s="173"/>
    </row>
    <row r="90" spans="2:6" customFormat="1" ht="16.5" customHeight="1">
      <c r="B90" s="168" t="s">
        <v>349</v>
      </c>
      <c r="C90" s="307" t="s">
        <v>463</v>
      </c>
      <c r="D90" s="307"/>
      <c r="E90" s="186">
        <f>SUM(E91:E94)</f>
        <v>8.6499999999999994E-2</v>
      </c>
      <c r="F90" s="172"/>
    </row>
    <row r="91" spans="2:6" customFormat="1" ht="15.75" customHeight="1">
      <c r="B91" s="187" t="s">
        <v>464</v>
      </c>
      <c r="C91" s="319" t="s">
        <v>16</v>
      </c>
      <c r="D91" s="319"/>
      <c r="E91" s="188">
        <v>6.4999999999999997E-3</v>
      </c>
      <c r="F91" s="189"/>
    </row>
    <row r="92" spans="2:6" customFormat="1" ht="16.5" customHeight="1">
      <c r="B92" s="187" t="s">
        <v>465</v>
      </c>
      <c r="C92" s="320" t="s">
        <v>466</v>
      </c>
      <c r="D92" s="320"/>
      <c r="E92" s="190">
        <v>0.03</v>
      </c>
      <c r="F92" s="191"/>
    </row>
    <row r="93" spans="2:6" s="154" customFormat="1" ht="16.5" customHeight="1">
      <c r="B93" s="187" t="s">
        <v>467</v>
      </c>
      <c r="C93" s="319" t="s">
        <v>468</v>
      </c>
      <c r="D93" s="319"/>
      <c r="E93" s="188">
        <v>0.05</v>
      </c>
      <c r="F93" s="189"/>
    </row>
    <row r="94" spans="2:6" s="154" customFormat="1" ht="16.5" customHeight="1">
      <c r="B94" s="187" t="s">
        <v>478</v>
      </c>
      <c r="C94" s="320" t="s">
        <v>479</v>
      </c>
      <c r="D94" s="320"/>
      <c r="E94" s="190"/>
      <c r="F94" s="191"/>
    </row>
    <row r="95" spans="2:6" s="154" customFormat="1">
      <c r="B95" s="348" t="s">
        <v>406</v>
      </c>
      <c r="C95" s="348"/>
      <c r="D95" s="348"/>
      <c r="E95" s="348"/>
      <c r="F95" s="192"/>
    </row>
    <row r="96" spans="2:6" s="154" customFormat="1" ht="20.25">
      <c r="B96" s="156" t="s">
        <v>469</v>
      </c>
      <c r="C96" s="157"/>
      <c r="D96" s="157"/>
      <c r="E96" s="157"/>
      <c r="F96" s="158"/>
    </row>
    <row r="97" spans="2:6" s="159" customFormat="1" ht="16.5" customHeight="1">
      <c r="B97" s="168" t="s">
        <v>470</v>
      </c>
      <c r="C97" s="347" t="s">
        <v>471</v>
      </c>
      <c r="D97" s="347"/>
      <c r="E97" s="347"/>
      <c r="F97" s="168" t="s">
        <v>472</v>
      </c>
    </row>
    <row r="98" spans="2:6" s="154" customFormat="1" ht="16.5" customHeight="1">
      <c r="B98" s="166">
        <v>1</v>
      </c>
      <c r="C98" s="307" t="s">
        <v>382</v>
      </c>
      <c r="D98" s="307"/>
      <c r="E98" s="307"/>
      <c r="F98" s="172"/>
    </row>
    <row r="99" spans="2:6" s="160" customFormat="1" ht="16.5" customHeight="1">
      <c r="B99" s="168">
        <v>2</v>
      </c>
      <c r="C99" s="294" t="s">
        <v>473</v>
      </c>
      <c r="D99" s="294"/>
      <c r="E99" s="294"/>
      <c r="F99" s="173"/>
    </row>
    <row r="100" spans="2:6" s="160" customFormat="1" ht="16.5" customHeight="1">
      <c r="B100" s="168">
        <v>3</v>
      </c>
      <c r="C100" s="307" t="s">
        <v>362</v>
      </c>
      <c r="D100" s="307"/>
      <c r="E100" s="307"/>
      <c r="F100" s="172"/>
    </row>
    <row r="101" spans="2:6" s="160" customFormat="1" ht="16.5" customHeight="1">
      <c r="B101" s="168">
        <v>4</v>
      </c>
      <c r="C101" s="294" t="s">
        <v>474</v>
      </c>
      <c r="D101" s="294"/>
      <c r="E101" s="294"/>
      <c r="F101" s="173"/>
    </row>
    <row r="102" spans="2:6" s="160" customFormat="1" ht="16.5" customHeight="1">
      <c r="B102" s="168">
        <v>5</v>
      </c>
      <c r="C102" s="307" t="s">
        <v>454</v>
      </c>
      <c r="D102" s="307"/>
      <c r="E102" s="307"/>
      <c r="F102" s="172"/>
    </row>
    <row r="103" spans="2:6" s="160" customFormat="1" ht="16.5" customHeight="1">
      <c r="B103" s="168">
        <v>6</v>
      </c>
      <c r="C103" s="294" t="s">
        <v>460</v>
      </c>
      <c r="D103" s="294"/>
      <c r="E103" s="294"/>
      <c r="F103" s="173"/>
    </row>
    <row r="104" spans="2:6" customFormat="1" ht="16.5" customHeight="1">
      <c r="B104" s="351" t="s">
        <v>475</v>
      </c>
      <c r="C104" s="351"/>
      <c r="D104" s="351"/>
      <c r="E104" s="351"/>
      <c r="F104" s="193"/>
    </row>
    <row r="105" spans="2:6" customFormat="1" ht="16.5" customHeight="1">
      <c r="B105" s="322" t="s">
        <v>476</v>
      </c>
      <c r="C105" s="322"/>
      <c r="D105" s="322"/>
      <c r="E105" s="322"/>
      <c r="F105" s="162">
        <f>VALOR_TOTAL_EMPREGADO*EMPREG_POR_POSTO</f>
        <v>0</v>
      </c>
    </row>
    <row r="106" spans="2:6" customFormat="1" ht="16.5" customHeight="1">
      <c r="B106" s="322" t="s">
        <v>477</v>
      </c>
      <c r="C106" s="322"/>
      <c r="D106" s="322"/>
      <c r="E106" s="322"/>
      <c r="F106" s="162">
        <f>VALOR_TOTAL_EMPREGADO*EMPREG_POR_POSTO*QTDE_POSTOS</f>
        <v>0</v>
      </c>
    </row>
  </sheetData>
  <sheetProtection sheet="1" objects="1" scenarios="1"/>
  <protectedRanges>
    <protectedRange sqref="F2 F8 F10 F22:F30 F34:F36 E39:F46 F47 F50:F55 E58:F60 F61 F66:F72 E67:E71 F75:F76 F80:F84 F88:F95 E90:E94 F98:F104" name="Intervalo1"/>
  </protectedRanges>
  <mergeCells count="95">
    <mergeCell ref="C102:E102"/>
    <mergeCell ref="C103:E103"/>
    <mergeCell ref="B104:E104"/>
    <mergeCell ref="B105:E105"/>
    <mergeCell ref="B106:E106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B1:F1"/>
    <mergeCell ref="B2:D2"/>
    <mergeCell ref="B3:F3"/>
    <mergeCell ref="B4:F4"/>
    <mergeCell ref="B5:C5"/>
    <mergeCell ref="D5:F5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3235A-6AB3-41CF-87DC-475A63A034A9}">
  <dimension ref="A1:AMJ105"/>
  <sheetViews>
    <sheetView zoomScale="140" zoomScaleNormal="140" workbookViewId="0">
      <selection activeCell="B7" sqref="B7:F7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ht="20.25">
      <c r="B1" s="285" t="s">
        <v>59</v>
      </c>
      <c r="C1" s="285"/>
      <c r="D1" s="285"/>
      <c r="E1" s="285"/>
      <c r="F1" s="285"/>
    </row>
    <row r="2" spans="2:6" ht="20.25">
      <c r="B2" s="286" t="s">
        <v>423</v>
      </c>
      <c r="C2" s="286"/>
      <c r="D2" s="286"/>
      <c r="E2" s="108" t="s">
        <v>424</v>
      </c>
      <c r="F2" s="109" t="str">
        <f>DATA_DO_ORCAMENTO_ESTIMATIVO</f>
        <v>XX/XX/20XX</v>
      </c>
    </row>
    <row r="3" spans="2:6" s="92" customFormat="1" ht="25.5">
      <c r="B3" s="287" t="s">
        <v>425</v>
      </c>
      <c r="C3" s="287"/>
      <c r="D3" s="287"/>
      <c r="E3" s="287"/>
      <c r="F3" s="287"/>
    </row>
    <row r="4" spans="2:6" s="92" customFormat="1" ht="15.95" customHeight="1">
      <c r="B4" s="288" t="s">
        <v>1</v>
      </c>
      <c r="C4" s="288"/>
      <c r="D4" s="288"/>
      <c r="E4" s="288"/>
      <c r="F4" s="288"/>
    </row>
    <row r="5" spans="2:6" s="92" customFormat="1" ht="15.95" customHeight="1">
      <c r="B5" s="284" t="s">
        <v>2</v>
      </c>
      <c r="C5" s="284"/>
      <c r="D5" s="289" t="s">
        <v>20</v>
      </c>
      <c r="E5" s="289"/>
      <c r="F5" s="289"/>
    </row>
    <row r="6" spans="2:6" s="92" customFormat="1" ht="15.75" customHeight="1">
      <c r="B6" s="290" t="s">
        <v>3</v>
      </c>
      <c r="C6" s="290"/>
      <c r="D6" s="291" t="str">
        <f>MODALIDADE_DE_LICITACAO</f>
        <v>Pregão nº</v>
      </c>
      <c r="E6" s="291"/>
      <c r="F6" s="111" t="s">
        <v>513</v>
      </c>
    </row>
    <row r="7" spans="2:6" s="92" customFormat="1" ht="15.75" customHeight="1">
      <c r="B7" s="292" t="s">
        <v>426</v>
      </c>
      <c r="C7" s="292"/>
      <c r="D7" s="292"/>
      <c r="E7" s="292"/>
      <c r="F7" s="292"/>
    </row>
    <row r="8" spans="2:6" s="92" customFormat="1" ht="18" customHeight="1">
      <c r="B8" s="112" t="s">
        <v>333</v>
      </c>
      <c r="C8" s="284" t="s">
        <v>427</v>
      </c>
      <c r="D8" s="284"/>
      <c r="E8" s="284"/>
      <c r="F8" s="113" t="str">
        <f>DATA_APRESENTACAO_PROPOSTA</f>
        <v>XX/XX/20XX</v>
      </c>
    </row>
    <row r="9" spans="2:6" s="92" customFormat="1" ht="15.95" customHeight="1">
      <c r="B9" s="114" t="s">
        <v>331</v>
      </c>
      <c r="C9" s="115" t="s">
        <v>428</v>
      </c>
      <c r="D9" s="293" t="s">
        <v>484</v>
      </c>
      <c r="E9" s="293"/>
      <c r="F9" s="293"/>
    </row>
    <row r="10" spans="2:6" s="92" customFormat="1" ht="18.75" customHeight="1">
      <c r="B10" s="112" t="s">
        <v>349</v>
      </c>
      <c r="C10" s="284" t="s">
        <v>429</v>
      </c>
      <c r="D10" s="284"/>
      <c r="E10" s="284"/>
      <c r="F10" s="113" t="s">
        <v>430</v>
      </c>
    </row>
    <row r="11" spans="2:6" s="92" customFormat="1" ht="15.95" customHeight="1">
      <c r="B11" s="114" t="s">
        <v>347</v>
      </c>
      <c r="C11" s="295" t="s">
        <v>431</v>
      </c>
      <c r="D11" s="295"/>
      <c r="E11" s="295"/>
      <c r="F11" s="116">
        <f>NUMERO_MESES_EXEC_CONTRATUAL</f>
        <v>12</v>
      </c>
    </row>
    <row r="12" spans="2:6" s="92" customFormat="1">
      <c r="B12" s="114" t="s">
        <v>345</v>
      </c>
      <c r="C12" s="296" t="s">
        <v>432</v>
      </c>
      <c r="D12" s="296"/>
      <c r="E12" s="296"/>
      <c r="F12" s="110">
        <v>1</v>
      </c>
    </row>
    <row r="13" spans="2:6" s="119" customFormat="1" ht="15" customHeight="1">
      <c r="B13" s="117" t="s">
        <v>433</v>
      </c>
      <c r="C13" s="118"/>
      <c r="D13" s="118"/>
      <c r="E13" s="118"/>
      <c r="F13" s="118"/>
    </row>
    <row r="14" spans="2:6" s="92" customFormat="1">
      <c r="B14" s="112">
        <v>1</v>
      </c>
      <c r="C14" s="284" t="s">
        <v>434</v>
      </c>
      <c r="D14" s="284"/>
      <c r="E14" s="297" t="s">
        <v>482</v>
      </c>
      <c r="F14" s="297"/>
    </row>
    <row r="15" spans="2:6" s="92" customFormat="1">
      <c r="B15" s="112">
        <v>2</v>
      </c>
      <c r="C15" s="120" t="s">
        <v>436</v>
      </c>
      <c r="D15" s="298" t="s">
        <v>483</v>
      </c>
      <c r="E15" s="298"/>
      <c r="F15" s="298"/>
    </row>
    <row r="16" spans="2:6" s="92" customFormat="1" ht="15" customHeight="1">
      <c r="B16" s="112">
        <v>3</v>
      </c>
      <c r="C16" s="121" t="s">
        <v>438</v>
      </c>
      <c r="D16" s="289" t="str">
        <f>IF(CATEGORIA_PROFISSIONAL="","",CATEGORIA_PROFISSIONAL)</f>
        <v/>
      </c>
      <c r="E16" s="289"/>
      <c r="F16" s="289"/>
    </row>
    <row r="17" spans="2:6" s="92" customFormat="1" ht="15" customHeight="1">
      <c r="B17" s="112">
        <v>4</v>
      </c>
      <c r="C17" s="290" t="s">
        <v>439</v>
      </c>
      <c r="D17" s="290"/>
      <c r="E17" s="290"/>
      <c r="F17" s="122">
        <v>44774</v>
      </c>
    </row>
    <row r="18" spans="2:6" s="123" customFormat="1" ht="20.25" customHeight="1">
      <c r="B18" s="299" t="s">
        <v>440</v>
      </c>
      <c r="C18" s="299"/>
      <c r="D18" s="299"/>
      <c r="E18" s="299"/>
      <c r="F18" s="299"/>
    </row>
    <row r="19" spans="2:6">
      <c r="B19" s="300" t="s">
        <v>441</v>
      </c>
      <c r="C19" s="301"/>
      <c r="D19" s="301"/>
      <c r="E19" s="301"/>
      <c r="F19" s="302"/>
    </row>
    <row r="20" spans="2:6">
      <c r="B20" s="124" t="s">
        <v>383</v>
      </c>
      <c r="E20" s="100"/>
      <c r="F20" s="100"/>
    </row>
    <row r="21" spans="2:6" ht="16.5" customHeight="1">
      <c r="B21" s="114">
        <v>1</v>
      </c>
      <c r="C21" s="303" t="s">
        <v>382</v>
      </c>
      <c r="D21" s="303"/>
      <c r="E21" s="303"/>
      <c r="F21" s="125" t="s">
        <v>442</v>
      </c>
    </row>
    <row r="22" spans="2:6" ht="16.350000000000001" customHeight="1">
      <c r="B22" s="114" t="s">
        <v>333</v>
      </c>
      <c r="C22" s="304" t="s">
        <v>443</v>
      </c>
      <c r="D22" s="304"/>
      <c r="E22" s="304"/>
      <c r="F22" s="126">
        <v>1889.51</v>
      </c>
    </row>
    <row r="23" spans="2:6" ht="16.5" customHeight="1">
      <c r="B23" s="114" t="s">
        <v>331</v>
      </c>
      <c r="C23" s="294" t="s">
        <v>444</v>
      </c>
      <c r="D23" s="294"/>
      <c r="E23" s="294"/>
      <c r="F23" s="127">
        <f>30%*AL_1_A_SAL_BASE</f>
        <v>566.85299999999995</v>
      </c>
    </row>
    <row r="24" spans="2:6" ht="15.75" customHeight="1">
      <c r="B24" s="114" t="s">
        <v>349</v>
      </c>
      <c r="C24" s="306" t="s">
        <v>445</v>
      </c>
      <c r="D24" s="306"/>
      <c r="E24" s="306"/>
      <c r="F24" s="126">
        <f>((AL_1_A_SAL_BASE+AL_1_B_ADIC_PERIC)/DIVISOR_DE_HORAS)*DIAS_NA_SEMANA*MEDIA_ANUAL_DIAS_TRABALHO_MES*PERC_ADIC_NOT%</f>
        <v>0</v>
      </c>
    </row>
    <row r="25" spans="2:6" ht="15.75" customHeight="1">
      <c r="B25" s="114" t="s">
        <v>347</v>
      </c>
      <c r="C25" s="294" t="s">
        <v>446</v>
      </c>
      <c r="D25" s="294"/>
      <c r="E25" s="294"/>
      <c r="F25" s="127">
        <f>((AL_1_A_SAL_BASE+AL_1_B_ADIC_PERIC)/DIVISOR_DE_HORAS)*((HORA_NORMAL-HORA_NOTURNA)/HORA_NOTURNA)*DIAS_NA_SEMANA*MEDIA_ANUAL_DIAS_TRABALHO_MES*PERC_ADIC_NOT%</f>
        <v>0</v>
      </c>
    </row>
    <row r="26" spans="2:6" ht="15.75" customHeight="1">
      <c r="B26" s="114" t="s">
        <v>345</v>
      </c>
      <c r="C26" s="307" t="s">
        <v>447</v>
      </c>
      <c r="D26" s="307"/>
      <c r="E26" s="307"/>
      <c r="F26" s="126">
        <f>PERC_ADIC_INS%*SAL_MINIMO</f>
        <v>0</v>
      </c>
    </row>
    <row r="27" spans="2:6">
      <c r="B27" s="114" t="s">
        <v>343</v>
      </c>
      <c r="C27" s="308" t="str">
        <f>OUTROS_REMUNERACAO_1_DESCRICAO</f>
        <v>Outras Remunerações 1 (Especificar)</v>
      </c>
      <c r="D27" s="308"/>
      <c r="E27" s="308"/>
      <c r="F27" s="127">
        <f>OUTROS_REMUNERACAO_1</f>
        <v>0</v>
      </c>
    </row>
    <row r="28" spans="2:6">
      <c r="B28" s="114" t="s">
        <v>341</v>
      </c>
      <c r="C28" s="304" t="str">
        <f>OUTROS_REMUNERACAO_2_DESCRICAO</f>
        <v>Outras Remunerações 2 (Especificar)</v>
      </c>
      <c r="D28" s="304"/>
      <c r="E28" s="304"/>
      <c r="F28" s="126">
        <f>OUTROS_REMUNERACAO_2</f>
        <v>0</v>
      </c>
    </row>
    <row r="29" spans="2:6">
      <c r="B29" s="114" t="s">
        <v>339</v>
      </c>
      <c r="C29" s="308" t="str">
        <f>OUTROS_REMUNERACAO_3_DESCRICAO</f>
        <v>Outras Remunerações 3 (Especificar)</v>
      </c>
      <c r="D29" s="308"/>
      <c r="E29" s="308"/>
      <c r="F29" s="127">
        <f>OUTROS_REMUNERACAO_3</f>
        <v>0</v>
      </c>
    </row>
    <row r="30" spans="2:6" ht="16.5" customHeight="1">
      <c r="B30" s="303" t="s">
        <v>406</v>
      </c>
      <c r="C30" s="303"/>
      <c r="D30" s="303"/>
      <c r="E30" s="303"/>
      <c r="F30" s="128">
        <f>SUM(F22:F29)</f>
        <v>2456.3629999999998</v>
      </c>
    </row>
    <row r="31" spans="2:6">
      <c r="B31" s="124" t="s">
        <v>386</v>
      </c>
      <c r="E31" s="102"/>
      <c r="F31" s="102"/>
    </row>
    <row r="32" spans="2:6">
      <c r="B32" s="124" t="s">
        <v>387</v>
      </c>
      <c r="C32" s="89"/>
      <c r="D32" s="88"/>
      <c r="E32" s="87"/>
      <c r="F32" s="87"/>
    </row>
    <row r="33" spans="2:6">
      <c r="B33" s="114" t="s">
        <v>388</v>
      </c>
      <c r="C33" s="309" t="s">
        <v>389</v>
      </c>
      <c r="D33" s="309"/>
      <c r="E33" s="125" t="s">
        <v>366</v>
      </c>
      <c r="F33" s="125" t="s">
        <v>442</v>
      </c>
    </row>
    <row r="34" spans="2:6" ht="16.5" customHeight="1">
      <c r="B34" s="114" t="s">
        <v>333</v>
      </c>
      <c r="C34" s="307" t="s">
        <v>391</v>
      </c>
      <c r="D34" s="307"/>
      <c r="E34" s="129">
        <f>PERC_DEC_TERC</f>
        <v>8.3333333333333321</v>
      </c>
      <c r="F34" s="130">
        <f>PERC_DEC_TERC%*MOD_1_REMUNERACAO</f>
        <v>204.6969166666666</v>
      </c>
    </row>
    <row r="35" spans="2:6" s="77" customFormat="1" ht="16.5" customHeight="1">
      <c r="B35" s="125" t="s">
        <v>331</v>
      </c>
      <c r="C35" s="294" t="s">
        <v>393</v>
      </c>
      <c r="D35" s="294"/>
      <c r="E35" s="131">
        <f>PERC_ADIC_FERIAS</f>
        <v>2.7777777777777777</v>
      </c>
      <c r="F35" s="132">
        <f>PERC_ADIC_FERIAS%*MOD_1_REMUNERACAO</f>
        <v>68.232305555555541</v>
      </c>
    </row>
    <row r="36" spans="2:6" s="81" customFormat="1">
      <c r="B36" s="309" t="s">
        <v>406</v>
      </c>
      <c r="C36" s="309"/>
      <c r="D36" s="309"/>
      <c r="E36" s="309"/>
      <c r="F36" s="133">
        <f>SUM(F34:F35)</f>
        <v>272.92922222222217</v>
      </c>
    </row>
    <row r="37" spans="2:6" s="81" customFormat="1" ht="31.5" customHeight="1">
      <c r="B37" s="305" t="s">
        <v>395</v>
      </c>
      <c r="C37" s="305"/>
      <c r="D37" s="305"/>
      <c r="E37" s="305"/>
      <c r="F37" s="305"/>
    </row>
    <row r="38" spans="2:6" s="81" customFormat="1" ht="34.5" customHeight="1">
      <c r="B38" s="114" t="s">
        <v>396</v>
      </c>
      <c r="C38" s="310" t="s">
        <v>397</v>
      </c>
      <c r="D38" s="310"/>
      <c r="E38" s="125" t="s">
        <v>366</v>
      </c>
      <c r="F38" s="125" t="s">
        <v>442</v>
      </c>
    </row>
    <row r="39" spans="2:6" ht="16.5" customHeight="1">
      <c r="B39" s="114" t="s">
        <v>333</v>
      </c>
      <c r="C39" s="307" t="s">
        <v>398</v>
      </c>
      <c r="D39" s="307"/>
      <c r="E39" s="129">
        <f>PERC_INSS</f>
        <v>20</v>
      </c>
      <c r="F39" s="130">
        <f>PERC_INSS%*(MOD_1_REMUNERACAO+SUBMOD_2_1_DEC_TERC_ADIC_FERIAS)</f>
        <v>545.85844444444444</v>
      </c>
    </row>
    <row r="40" spans="2:6" s="92" customFormat="1" ht="16.5" customHeight="1">
      <c r="B40" s="125" t="s">
        <v>331</v>
      </c>
      <c r="C40" s="294" t="s">
        <v>399</v>
      </c>
      <c r="D40" s="294"/>
      <c r="E40" s="134">
        <f>PERC_SAL_EDUCACAO</f>
        <v>2.5</v>
      </c>
      <c r="F40" s="132">
        <f>PERC_SAL_EDUCACAO%*(MOD_1_REMUNERACAO+SUBMOD_2_1_DEC_TERC_ADIC_FERIAS)</f>
        <v>68.232305555555556</v>
      </c>
    </row>
    <row r="41" spans="2:6" s="92" customFormat="1" ht="16.5" customHeight="1">
      <c r="B41" s="125" t="s">
        <v>349</v>
      </c>
      <c r="C41" s="307" t="s">
        <v>400</v>
      </c>
      <c r="D41" s="307"/>
      <c r="E41" s="129">
        <f>PERC_RAT</f>
        <v>3</v>
      </c>
      <c r="F41" s="130">
        <f>PERC_RAT%*(MOD_1_REMUNERACAO+SUBMOD_2_1_DEC_TERC_ADIC_FERIAS)</f>
        <v>81.87876666666665</v>
      </c>
    </row>
    <row r="42" spans="2:6" s="92" customFormat="1" ht="16.5" customHeight="1">
      <c r="B42" s="125" t="s">
        <v>347</v>
      </c>
      <c r="C42" s="294" t="s">
        <v>401</v>
      </c>
      <c r="D42" s="294"/>
      <c r="E42" s="131">
        <f>PERC_SESC</f>
        <v>1.5</v>
      </c>
      <c r="F42" s="132">
        <f>PERC_SESC%*(MOD_1_REMUNERACAO+SUBMOD_2_1_DEC_TERC_ADIC_FERIAS)</f>
        <v>40.939383333333325</v>
      </c>
    </row>
    <row r="43" spans="2:6" s="92" customFormat="1" ht="16.5" customHeight="1">
      <c r="B43" s="125" t="s">
        <v>345</v>
      </c>
      <c r="C43" s="307" t="s">
        <v>402</v>
      </c>
      <c r="D43" s="307"/>
      <c r="E43" s="129">
        <f>PERC_SENAC</f>
        <v>1</v>
      </c>
      <c r="F43" s="130">
        <f>PERC_SENAC%*(MOD_1_REMUNERACAO+SUBMOD_2_1_DEC_TERC_ADIC_FERIAS)</f>
        <v>27.29292222222222</v>
      </c>
    </row>
    <row r="44" spans="2:6" s="92" customFormat="1" ht="16.5" customHeight="1">
      <c r="B44" s="125" t="s">
        <v>343</v>
      </c>
      <c r="C44" s="294" t="s">
        <v>403</v>
      </c>
      <c r="D44" s="294"/>
      <c r="E44" s="134">
        <f>PERC_SEBRAE</f>
        <v>0.6</v>
      </c>
      <c r="F44" s="132">
        <f>PERC_SEBRAE%*(MOD_1_REMUNERACAO+SUBMOD_2_1_DEC_TERC_ADIC_FERIAS)</f>
        <v>16.375753333333332</v>
      </c>
    </row>
    <row r="45" spans="2:6" s="92" customFormat="1" ht="16.5" customHeight="1">
      <c r="B45" s="125" t="s">
        <v>341</v>
      </c>
      <c r="C45" s="307" t="s">
        <v>404</v>
      </c>
      <c r="D45" s="307"/>
      <c r="E45" s="129">
        <f>PERC_INCRA</f>
        <v>0.2</v>
      </c>
      <c r="F45" s="130">
        <f>PERC_INCRA%*(MOD_1_REMUNERACAO+SUBMOD_2_1_DEC_TERC_ADIC_FERIAS)</f>
        <v>5.458584444444444</v>
      </c>
    </row>
    <row r="46" spans="2:6" ht="16.5" customHeight="1">
      <c r="B46" s="125" t="s">
        <v>339</v>
      </c>
      <c r="C46" s="294" t="s">
        <v>405</v>
      </c>
      <c r="D46" s="294"/>
      <c r="E46" s="134">
        <f>PERC_FGTS</f>
        <v>8</v>
      </c>
      <c r="F46" s="132">
        <f>PERC_FGTS%*(MOD_1_REMUNERACAO+SUBMOD_2_1_DEC_TERC_ADIC_FERIAS)</f>
        <v>218.34337777777776</v>
      </c>
    </row>
    <row r="47" spans="2:6">
      <c r="B47" s="309" t="s">
        <v>406</v>
      </c>
      <c r="C47" s="309"/>
      <c r="D47" s="309"/>
      <c r="E47" s="309"/>
      <c r="F47" s="135">
        <f>SUM(F39:F46)</f>
        <v>1004.3795377777777</v>
      </c>
    </row>
    <row r="48" spans="2:6" ht="15.75" customHeight="1">
      <c r="B48" s="124" t="s">
        <v>370</v>
      </c>
      <c r="C48" s="92"/>
      <c r="D48" s="92"/>
      <c r="E48" s="92"/>
      <c r="F48" s="92"/>
    </row>
    <row r="49" spans="2:7" ht="15.75" customHeight="1">
      <c r="B49" s="114" t="s">
        <v>369</v>
      </c>
      <c r="C49" s="303" t="s">
        <v>368</v>
      </c>
      <c r="D49" s="303"/>
      <c r="E49" s="303"/>
      <c r="F49" s="125" t="s">
        <v>442</v>
      </c>
    </row>
    <row r="50" spans="2:7" ht="16.350000000000001" customHeight="1">
      <c r="B50" s="112" t="s">
        <v>333</v>
      </c>
      <c r="C50" s="307" t="s">
        <v>448</v>
      </c>
      <c r="D50" s="307"/>
      <c r="E50" s="307"/>
      <c r="F50" s="130">
        <f>IF(((TRANSPORTE_POR_DIA*DIAS_TRABALHADOS_NO_MES)-(PERC_DESC_TRANSP_REMUNERACAO%*(AL_1_A_SAL_BASE)))&gt;0,((TRANSPORTE_POR_DIA*DIAS_TRABALHADOS_NO_MES)-(PERC_DESC_TRANSP_REMUNERACAO%*(AL_1_A_SAL_BASE))),0)</f>
        <v>62.629400000000004</v>
      </c>
    </row>
    <row r="51" spans="2:7" s="81" customFormat="1" ht="16.5" customHeight="1">
      <c r="B51" s="112" t="s">
        <v>331</v>
      </c>
      <c r="C51" s="294" t="s">
        <v>449</v>
      </c>
      <c r="D51" s="294"/>
      <c r="E51" s="294"/>
      <c r="F51" s="132">
        <v>416.46</v>
      </c>
      <c r="G51" s="136"/>
    </row>
    <row r="52" spans="2:7" s="81" customFormat="1">
      <c r="B52" s="112" t="s">
        <v>349</v>
      </c>
      <c r="C52" s="304" t="str">
        <f>OUTROS_BENEFICIOS_1_DESCRICAO</f>
        <v>Outros Benefícios 1 (Especificar)</v>
      </c>
      <c r="D52" s="304"/>
      <c r="E52" s="304"/>
      <c r="F52" s="130">
        <v>0</v>
      </c>
    </row>
    <row r="53" spans="2:7" s="81" customFormat="1">
      <c r="B53" s="112" t="s">
        <v>347</v>
      </c>
      <c r="C53" s="308" t="str">
        <f>OUTROS_BENEFICIOS_2_DESCRICAO</f>
        <v>Outros Benefícios 2 (Especificar)</v>
      </c>
      <c r="D53" s="308"/>
      <c r="E53" s="308"/>
      <c r="F53" s="132">
        <f>OUTROS_BENEFICIOS_2</f>
        <v>0</v>
      </c>
    </row>
    <row r="54" spans="2:7" s="81" customFormat="1">
      <c r="B54" s="112" t="s">
        <v>345</v>
      </c>
      <c r="C54" s="304" t="str">
        <f>OUTROS_BENEFICIOS_3_DESCRICAO</f>
        <v>Outros Benefícios 3 (Especificar)</v>
      </c>
      <c r="D54" s="304"/>
      <c r="E54" s="304"/>
      <c r="F54" s="130">
        <f>OUTROS_BENEFICIOS_3</f>
        <v>0</v>
      </c>
    </row>
    <row r="55" spans="2:7" s="81" customFormat="1" ht="15" customHeight="1">
      <c r="B55" s="303" t="s">
        <v>406</v>
      </c>
      <c r="C55" s="303"/>
      <c r="D55" s="303"/>
      <c r="E55" s="303"/>
      <c r="F55" s="128">
        <f>SUM(F50:F54)</f>
        <v>479.08939999999996</v>
      </c>
    </row>
    <row r="56" spans="2:7" s="81" customFormat="1">
      <c r="B56" s="124" t="s">
        <v>363</v>
      </c>
      <c r="C56" s="89"/>
      <c r="D56" s="88"/>
      <c r="E56" s="87"/>
      <c r="F56" s="87"/>
    </row>
    <row r="57" spans="2:7" s="81" customFormat="1" ht="15" customHeight="1">
      <c r="B57" s="114">
        <v>3</v>
      </c>
      <c r="C57" s="309" t="s">
        <v>362</v>
      </c>
      <c r="D57" s="309"/>
      <c r="E57" s="125" t="s">
        <v>366</v>
      </c>
      <c r="F57" s="125" t="s">
        <v>442</v>
      </c>
    </row>
    <row r="58" spans="2:7" s="81" customFormat="1">
      <c r="B58" s="114" t="s">
        <v>333</v>
      </c>
      <c r="C58" s="311" t="s">
        <v>407</v>
      </c>
      <c r="D58" s="311"/>
      <c r="E58" s="129">
        <f>PERC_AVISO_PREVIO_IND</f>
        <v>0.29105124999999998</v>
      </c>
      <c r="F58" s="130">
        <f>PERC_AVISO_PREVIO_IND%*(MOD_1_REMUNERACAO+SUBMOD_2_1_DEC_TERC_ADIC_FERIAS+AL_2_2_FGTS+SUBMOD_2_3_BENEFICIOS)</f>
        <v>9.9735259465624981</v>
      </c>
    </row>
    <row r="59" spans="2:7" s="81" customFormat="1">
      <c r="B59" s="125" t="s">
        <v>331</v>
      </c>
      <c r="C59" s="312" t="s">
        <v>409</v>
      </c>
      <c r="D59" s="312"/>
      <c r="E59" s="134">
        <f>PERC_AVISO_PREVIO_TRAB</f>
        <v>1.15572693055556</v>
      </c>
      <c r="F59" s="132">
        <f>PERC_AVISO_PREVIO_TRAB%*(MOD_1_REMUNERACAO+SUBMOD_2_1_DEC_TERC_ADIC_FERIAS+SUBMOD_2_2_GPS_FGTS+SUBMOD_2_3_BENEFICIOS)</f>
        <v>48.688015246104804</v>
      </c>
    </row>
    <row r="60" spans="2:7" s="92" customFormat="1">
      <c r="B60" s="125" t="s">
        <v>349</v>
      </c>
      <c r="C60" s="311" t="s">
        <v>411</v>
      </c>
      <c r="D60" s="311"/>
      <c r="E60" s="129">
        <f>PERC_MULTA_FGTS_AV_PREV_TRAB</f>
        <v>0.04</v>
      </c>
      <c r="F60" s="130">
        <f>PERC_MULTA_FGTS_AV_PREV_TRAB%*(MOD_1_REMUNERACAO+SUBMOD_2_1_DEC_TERC_ADIC_FERIAS)</f>
        <v>1.0917168888888888</v>
      </c>
    </row>
    <row r="61" spans="2:7" s="92" customFormat="1">
      <c r="B61" s="309" t="s">
        <v>406</v>
      </c>
      <c r="C61" s="309"/>
      <c r="D61" s="309"/>
      <c r="E61" s="309"/>
      <c r="F61" s="133">
        <f>SUM(F58:F60)</f>
        <v>59.75325808155619</v>
      </c>
    </row>
    <row r="62" spans="2:7" ht="7.5" customHeight="1">
      <c r="B62" s="137"/>
      <c r="D62" s="138"/>
      <c r="E62" s="100"/>
      <c r="F62" s="100"/>
    </row>
    <row r="63" spans="2:7" s="92" customFormat="1" ht="15.95" customHeight="1">
      <c r="B63" s="124" t="s">
        <v>356</v>
      </c>
      <c r="C63" s="89"/>
      <c r="D63" s="88"/>
      <c r="E63" s="77"/>
      <c r="F63" s="77"/>
    </row>
    <row r="64" spans="2:7" s="92" customFormat="1" ht="15.95" customHeight="1">
      <c r="B64" s="124" t="s">
        <v>355</v>
      </c>
      <c r="C64" s="89"/>
      <c r="D64" s="88"/>
      <c r="E64" s="87"/>
      <c r="F64" s="87"/>
    </row>
    <row r="65" spans="2:6" s="92" customFormat="1" ht="16.5" customHeight="1">
      <c r="B65" s="114" t="s">
        <v>354</v>
      </c>
      <c r="C65" s="303" t="s">
        <v>353</v>
      </c>
      <c r="D65" s="303"/>
      <c r="E65" s="125" t="s">
        <v>366</v>
      </c>
      <c r="F65" s="125" t="s">
        <v>442</v>
      </c>
    </row>
    <row r="66" spans="2:6" s="92" customFormat="1" ht="15.95" customHeight="1">
      <c r="B66" s="125" t="s">
        <v>333</v>
      </c>
      <c r="C66" s="307" t="s">
        <v>413</v>
      </c>
      <c r="D66" s="307"/>
      <c r="E66" s="129">
        <f>PERC_SUBSTITUTO_FERIAS</f>
        <v>8.3333333333333321</v>
      </c>
      <c r="F66" s="130">
        <f>PERC_SUBSTITUTO_FERIAS%*(MOD_1_REMUNERACAO+MOD_2_ENCARGOS_BENEFICIOS+MOD_3_PROVISAO_RESCISAO)</f>
        <v>356.04286817346292</v>
      </c>
    </row>
    <row r="67" spans="2:6" s="92" customFormat="1" ht="15.95" customHeight="1">
      <c r="B67" s="125" t="s">
        <v>331</v>
      </c>
      <c r="C67" s="294" t="s">
        <v>415</v>
      </c>
      <c r="D67" s="294"/>
      <c r="E67" s="134">
        <f>PERC_SUBSTITUTO_AUSENCIAS_LEGAIS</f>
        <v>2.2222222222222223</v>
      </c>
      <c r="F67" s="132">
        <f>PERC_SUBSTITUTO_AUSENCIAS_LEGAIS%*(MOD_1_REMUNERACAO+MOD_2_ENCARGOS_BENEFICIOS+MOD_3_PROVISAO_RESCISAO)</f>
        <v>94.944764846256803</v>
      </c>
    </row>
    <row r="68" spans="2:6" s="92" customFormat="1" ht="15.95" customHeight="1">
      <c r="B68" s="125" t="s">
        <v>349</v>
      </c>
      <c r="C68" s="307" t="s">
        <v>417</v>
      </c>
      <c r="D68" s="307"/>
      <c r="E68" s="129">
        <f>PERC_SUBSTITUTO_LICENCA_PATERNIDADE</f>
        <v>3.5673555555555549E-2</v>
      </c>
      <c r="F68" s="130">
        <f>PERC_SUBSTITUTO_LICENCA_PATERNIDADE%*(MOD_1_REMUNERACAO+MOD_2_ENCARGOS_BENEFICIOS+MOD_3_PROVISAO_RESCISAO)</f>
        <v>1.5241578045534447</v>
      </c>
    </row>
    <row r="69" spans="2:6" s="92" customFormat="1" ht="16.5" customHeight="1">
      <c r="B69" s="125" t="s">
        <v>347</v>
      </c>
      <c r="C69" s="294" t="s">
        <v>419</v>
      </c>
      <c r="D69" s="294"/>
      <c r="E69" s="134">
        <f>PERC_SUBSTITUTO_ACID_TRAB</f>
        <v>1.85302229372558E-2</v>
      </c>
      <c r="F69" s="132">
        <f>PERC_SUBSTITUTO_ACID_TRAB%*(MOD_1_REMUNERACAO+MOD_2_ENCARGOS_BENEFICIOS+MOD_3_PROVISAO_RESCISAO)</f>
        <v>0.79170644669690959</v>
      </c>
    </row>
    <row r="70" spans="2:6" s="92" customFormat="1" ht="16.5" customHeight="1">
      <c r="B70" s="125" t="s">
        <v>345</v>
      </c>
      <c r="C70" s="307" t="s">
        <v>421</v>
      </c>
      <c r="D70" s="307"/>
      <c r="E70" s="129">
        <f>PERC_SUBSTITUTO_AFAST_MATERN</f>
        <v>0.14312918399999999</v>
      </c>
      <c r="F70" s="130">
        <f>PERC_SUBSTITUTO_AFAST_MATERN%*(MOD_1_REMUNERACAO+MOD_2_ENCARGOS_BENEFICIOS+MOD_3_PROVISAO_RESCISAO)</f>
        <v>6.11521502288248</v>
      </c>
    </row>
    <row r="71" spans="2:6" s="92" customFormat="1">
      <c r="B71" s="125" t="s">
        <v>343</v>
      </c>
      <c r="C71" s="314" t="str">
        <f>OUTRAS_AUSENCIAS_DESCRICAO</f>
        <v>Outras Ausências (Especificar - em %)</v>
      </c>
      <c r="D71" s="314"/>
      <c r="E71" s="139">
        <f>PERC_SUBSTITUTO_OUTRAS_AUSENCIAS</f>
        <v>0</v>
      </c>
      <c r="F71" s="132">
        <f>PERC_SUBSTITUTO_OUTRAS_AUSENCIAS%*(MOD_1_REMUNERACAO+MOD_2_ENCARGOS_BENEFICIOS+MOD_3_PROVISAO_RESCISAO)</f>
        <v>0</v>
      </c>
    </row>
    <row r="72" spans="2:6" s="92" customFormat="1">
      <c r="B72" s="309" t="s">
        <v>406</v>
      </c>
      <c r="C72" s="309"/>
      <c r="D72" s="309"/>
      <c r="E72" s="309"/>
      <c r="F72" s="133">
        <f>SUM(F66:F71)</f>
        <v>459.41871229385259</v>
      </c>
    </row>
    <row r="73" spans="2:6" s="92" customFormat="1" ht="15" customHeight="1">
      <c r="B73" s="124" t="s">
        <v>450</v>
      </c>
      <c r="C73" s="89"/>
      <c r="D73" s="88"/>
      <c r="E73" s="87"/>
      <c r="F73" s="87"/>
    </row>
    <row r="74" spans="2:6" s="92" customFormat="1">
      <c r="B74" s="114" t="s">
        <v>336</v>
      </c>
      <c r="C74" s="309" t="s">
        <v>451</v>
      </c>
      <c r="D74" s="309"/>
      <c r="E74" s="309"/>
      <c r="F74" s="125" t="s">
        <v>442</v>
      </c>
    </row>
    <row r="75" spans="2:6" s="92" customFormat="1" ht="16.5" customHeight="1">
      <c r="B75" s="114" t="s">
        <v>333</v>
      </c>
      <c r="C75" s="307" t="s">
        <v>452</v>
      </c>
      <c r="D75" s="307"/>
      <c r="E75" s="307"/>
      <c r="F75" s="126">
        <f>IF(DIAS_TRABALHADOS_NO_MES=15,((MOD_1_REMUNERACAO+MOD_2_ENCARGOS_BENEFICIOS+MOD_3_PROVISAO_RESCISAO)/DIVISOR_DE_HORAS)*((TEMPO_INTERVALO_REFEICAO/HORA_NORMAL)+PERC_HORA_EXTRA%)*DIAS_TRABALHADOS_NO_MES,0)</f>
        <v>0</v>
      </c>
    </row>
    <row r="76" spans="2:6" s="92" customFormat="1">
      <c r="B76" s="309" t="s">
        <v>406</v>
      </c>
      <c r="C76" s="309"/>
      <c r="D76" s="309"/>
      <c r="E76" s="309"/>
      <c r="F76" s="133">
        <f>SUM(F75)</f>
        <v>0</v>
      </c>
    </row>
    <row r="77" spans="2:6" ht="7.5" customHeight="1">
      <c r="B77" s="137"/>
      <c r="D77" s="138"/>
      <c r="E77" s="100"/>
      <c r="F77" s="100"/>
    </row>
    <row r="78" spans="2:6">
      <c r="B78" s="124" t="s">
        <v>453</v>
      </c>
      <c r="C78" s="89"/>
      <c r="D78" s="89"/>
      <c r="E78" s="87"/>
      <c r="F78" s="87"/>
    </row>
    <row r="79" spans="2:6" ht="15.75" customHeight="1">
      <c r="B79" s="140">
        <v>5</v>
      </c>
      <c r="C79" s="315" t="s">
        <v>454</v>
      </c>
      <c r="D79" s="315"/>
      <c r="E79" s="315"/>
      <c r="F79" s="141" t="s">
        <v>442</v>
      </c>
    </row>
    <row r="80" spans="2:6" ht="16.5" customHeight="1">
      <c r="B80" s="142" t="s">
        <v>333</v>
      </c>
      <c r="C80" s="316" t="s">
        <v>455</v>
      </c>
      <c r="D80" s="316"/>
      <c r="E80" s="316"/>
      <c r="F80" s="143">
        <f>[1]Uniforme!B9</f>
        <v>115.05</v>
      </c>
    </row>
    <row r="81" spans="2:6" ht="16.5" customHeight="1">
      <c r="B81" s="142" t="s">
        <v>331</v>
      </c>
      <c r="C81" s="313" t="s">
        <v>502</v>
      </c>
      <c r="D81" s="313"/>
      <c r="E81" s="313"/>
      <c r="F81" s="144">
        <v>147.22999999999999</v>
      </c>
    </row>
    <row r="82" spans="2:6" ht="16.5" customHeight="1">
      <c r="B82" s="142" t="s">
        <v>349</v>
      </c>
      <c r="C82" s="316" t="s">
        <v>501</v>
      </c>
      <c r="D82" s="316"/>
      <c r="E82" s="316"/>
      <c r="F82" s="143">
        <v>201.65</v>
      </c>
    </row>
    <row r="83" spans="2:6" ht="16.350000000000001" customHeight="1">
      <c r="B83" s="142" t="s">
        <v>347</v>
      </c>
      <c r="C83" s="317" t="s">
        <v>458</v>
      </c>
      <c r="D83" s="317"/>
      <c r="E83" s="317"/>
      <c r="F83" s="144">
        <v>0</v>
      </c>
    </row>
    <row r="84" spans="2:6" ht="16.5" customHeight="1">
      <c r="B84" s="315" t="s">
        <v>406</v>
      </c>
      <c r="C84" s="315"/>
      <c r="D84" s="315"/>
      <c r="E84" s="315"/>
      <c r="F84" s="145">
        <f>SUM(F80:F83)</f>
        <v>463.92999999999995</v>
      </c>
    </row>
    <row r="85" spans="2:6" ht="7.5" customHeight="1">
      <c r="B85" s="137"/>
      <c r="D85" s="138"/>
      <c r="E85" s="100"/>
      <c r="F85" s="100"/>
    </row>
    <row r="86" spans="2:6" ht="15" customHeight="1">
      <c r="B86" s="318" t="s">
        <v>459</v>
      </c>
      <c r="C86" s="318"/>
      <c r="D86" s="318"/>
      <c r="E86" s="318"/>
      <c r="F86" s="318"/>
    </row>
    <row r="87" spans="2:6">
      <c r="B87" s="114">
        <v>6</v>
      </c>
      <c r="C87" s="309" t="s">
        <v>460</v>
      </c>
      <c r="D87" s="309"/>
      <c r="E87" s="125" t="s">
        <v>366</v>
      </c>
      <c r="F87" s="125" t="s">
        <v>442</v>
      </c>
    </row>
    <row r="88" spans="2:6" ht="16.5" customHeight="1">
      <c r="B88" s="114" t="s">
        <v>333</v>
      </c>
      <c r="C88" s="307" t="s">
        <v>461</v>
      </c>
      <c r="D88" s="307"/>
      <c r="E88" s="146">
        <f>PERC_CUSTOS_INDIRETOS</f>
        <v>5.1533333333333298</v>
      </c>
      <c r="F88" s="130">
        <f>PERC_CUSTOS_INDIRETOS%*(MOD_1_REMUNERACAO+MOD_2_ENCARGOS_BENEFICIOS+MOD_3_PROVISAO_RESCISAO+MOD_4_CUSTO_REPOSICAO+MOD_5_INSUMOS)</f>
        <v>267.76014665201257</v>
      </c>
    </row>
    <row r="89" spans="2:6" ht="15.75" customHeight="1">
      <c r="B89" s="125" t="s">
        <v>331</v>
      </c>
      <c r="C89" s="294" t="s">
        <v>462</v>
      </c>
      <c r="D89" s="294"/>
      <c r="E89" s="147">
        <f>PERC_LUCRO</f>
        <v>5.0466666666666704</v>
      </c>
      <c r="F89" s="132">
        <f>PERC_LUCRO%*(MOD_1_REMUNERACAO+MOD_2_ENCARGOS_BENEFICIOS+MOD_3_PROVISAO_RESCISAO+MOD_4_CUSTO_REPOSICAO+MOD_5_INSUMOS+AL_6_A_CUSTOS_INDIRETOS)</f>
        <v>275.73085471398406</v>
      </c>
    </row>
    <row r="90" spans="2:6" ht="16.5" customHeight="1">
      <c r="B90" s="125" t="s">
        <v>349</v>
      </c>
      <c r="C90" s="307" t="s">
        <v>463</v>
      </c>
      <c r="D90" s="307"/>
      <c r="E90" s="148">
        <f>SUM(E91:E93)</f>
        <v>0.14250000000000002</v>
      </c>
      <c r="F90" s="130">
        <f>SUM(F91:F93)</f>
        <v>870.42745562004961</v>
      </c>
    </row>
    <row r="91" spans="2:6" ht="15.75" customHeight="1">
      <c r="B91" s="149" t="s">
        <v>464</v>
      </c>
      <c r="C91" s="319" t="s">
        <v>16</v>
      </c>
      <c r="D91" s="319"/>
      <c r="E91" s="150">
        <v>1.6500000000000001E-2</v>
      </c>
      <c r="F91" s="151">
        <f>(($F$30+$F$36+$F$47+$F$55+$F$61+$F$72+$F$76+$F$84+$F$88+$F$89)*E91)/(1-E91)</f>
        <v>96.288096770445549</v>
      </c>
    </row>
    <row r="92" spans="2:6" ht="16.5" customHeight="1">
      <c r="B92" s="149" t="s">
        <v>465</v>
      </c>
      <c r="C92" s="320" t="s">
        <v>466</v>
      </c>
      <c r="D92" s="320"/>
      <c r="E92" s="152">
        <v>7.5999999999999998E-2</v>
      </c>
      <c r="F92" s="153">
        <f>(($F$30+$F$36+$F$47+$F$55+$F$61+$F$72+$F$76+$F$84+$F$88+$F$89)*E92)/(1-E92)</f>
        <v>472.06808875795105</v>
      </c>
    </row>
    <row r="93" spans="2:6" s="154" customFormat="1" ht="16.5" customHeight="1">
      <c r="B93" s="149" t="s">
        <v>467</v>
      </c>
      <c r="C93" s="319" t="s">
        <v>468</v>
      </c>
      <c r="D93" s="319"/>
      <c r="E93" s="150">
        <v>0.05</v>
      </c>
      <c r="F93" s="151">
        <f>(($F$30+$F$36+$F$47+$F$55+$F$61+$F$72+$F$76+$F$84+$F$88+$F$89)*E93)/(1-E93)</f>
        <v>302.07127009165293</v>
      </c>
    </row>
    <row r="94" spans="2:6" s="154" customFormat="1">
      <c r="B94" s="309" t="s">
        <v>406</v>
      </c>
      <c r="C94" s="309"/>
      <c r="D94" s="309"/>
      <c r="E94" s="309"/>
      <c r="F94" s="155">
        <f>AL_6_A_CUSTOS_INDIRETOS+AL_6_B_LUCRO+AL_6_C_TRIBUTOS</f>
        <v>1413.9184569860463</v>
      </c>
    </row>
    <row r="95" spans="2:6" s="154" customFormat="1" ht="20.25">
      <c r="B95" s="156" t="s">
        <v>469</v>
      </c>
      <c r="C95" s="157"/>
      <c r="D95" s="157"/>
      <c r="E95" s="157"/>
      <c r="F95" s="158"/>
    </row>
    <row r="96" spans="2:6" s="159" customFormat="1" ht="16.5" customHeight="1">
      <c r="B96" s="125" t="s">
        <v>470</v>
      </c>
      <c r="C96" s="303" t="s">
        <v>471</v>
      </c>
      <c r="D96" s="303"/>
      <c r="E96" s="303"/>
      <c r="F96" s="125" t="s">
        <v>472</v>
      </c>
    </row>
    <row r="97" spans="2:6" s="154" customFormat="1" ht="16.5" customHeight="1">
      <c r="B97" s="114">
        <v>1</v>
      </c>
      <c r="C97" s="307" t="s">
        <v>382</v>
      </c>
      <c r="D97" s="307"/>
      <c r="E97" s="307"/>
      <c r="F97" s="130">
        <f>MOD_1_REMUNERACAO</f>
        <v>2456.3629999999998</v>
      </c>
    </row>
    <row r="98" spans="2:6" s="160" customFormat="1" ht="16.5" customHeight="1">
      <c r="B98" s="125">
        <v>2</v>
      </c>
      <c r="C98" s="294" t="s">
        <v>473</v>
      </c>
      <c r="D98" s="294"/>
      <c r="E98" s="294"/>
      <c r="F98" s="132">
        <f>MOD_2_ENCARGOS_BENEFICIOS</f>
        <v>1756.3981599999997</v>
      </c>
    </row>
    <row r="99" spans="2:6" s="160" customFormat="1" ht="16.5" customHeight="1">
      <c r="B99" s="125">
        <v>3</v>
      </c>
      <c r="C99" s="307" t="s">
        <v>362</v>
      </c>
      <c r="D99" s="307"/>
      <c r="E99" s="307"/>
      <c r="F99" s="130">
        <f>MOD_3_PROVISAO_RESCISAO</f>
        <v>59.75325808155619</v>
      </c>
    </row>
    <row r="100" spans="2:6" s="160" customFormat="1" ht="16.5" customHeight="1">
      <c r="B100" s="125">
        <v>4</v>
      </c>
      <c r="C100" s="294" t="s">
        <v>474</v>
      </c>
      <c r="D100" s="294"/>
      <c r="E100" s="294"/>
      <c r="F100" s="132">
        <f>MOD_4_CUSTO_REPOSICAO</f>
        <v>459.41871229385259</v>
      </c>
    </row>
    <row r="101" spans="2:6" s="160" customFormat="1" ht="16.5" customHeight="1">
      <c r="B101" s="125">
        <v>5</v>
      </c>
      <c r="C101" s="307" t="s">
        <v>454</v>
      </c>
      <c r="D101" s="307"/>
      <c r="E101" s="307"/>
      <c r="F101" s="130">
        <f>MOD_5_INSUMOS</f>
        <v>463.92999999999995</v>
      </c>
    </row>
    <row r="102" spans="2:6" s="160" customFormat="1" ht="16.5" customHeight="1">
      <c r="B102" s="125">
        <v>6</v>
      </c>
      <c r="C102" s="294" t="s">
        <v>460</v>
      </c>
      <c r="D102" s="294"/>
      <c r="E102" s="294"/>
      <c r="F102" s="132">
        <f>MOD_6_CUSTOS_IND_LUCRO_TRIB</f>
        <v>1413.9184569860463</v>
      </c>
    </row>
    <row r="103" spans="2:6" ht="16.5" customHeight="1">
      <c r="B103" s="321" t="s">
        <v>475</v>
      </c>
      <c r="C103" s="321"/>
      <c r="D103" s="321"/>
      <c r="E103" s="321"/>
      <c r="F103" s="161">
        <f>SUM(F97:F102)</f>
        <v>6609.7815873614554</v>
      </c>
    </row>
    <row r="104" spans="2:6" ht="16.5" customHeight="1">
      <c r="B104" s="322" t="s">
        <v>476</v>
      </c>
      <c r="C104" s="322"/>
      <c r="D104" s="322"/>
      <c r="E104" s="322"/>
      <c r="F104" s="162">
        <f>VALOR_TOTAL_EMPREGADO*EMPREG_POR_POSTO</f>
        <v>0</v>
      </c>
    </row>
    <row r="105" spans="2:6" ht="16.5" customHeight="1">
      <c r="B105" s="322" t="s">
        <v>477</v>
      </c>
      <c r="C105" s="322"/>
      <c r="D105" s="322"/>
      <c r="E105" s="322"/>
      <c r="F105" s="162">
        <f>VALOR_TOTAL_EMPREGADO*EMPREG_POR_POSTO*QTDE_POSTOS</f>
        <v>0</v>
      </c>
    </row>
  </sheetData>
  <sheetProtection sheet="1" objects="1" scenarios="1"/>
  <mergeCells count="94">
    <mergeCell ref="C102:E102"/>
    <mergeCell ref="B103:E103"/>
    <mergeCell ref="B104:E104"/>
    <mergeCell ref="B105:E105"/>
    <mergeCell ref="C96:E96"/>
    <mergeCell ref="C97:E97"/>
    <mergeCell ref="C98:E98"/>
    <mergeCell ref="C99:E99"/>
    <mergeCell ref="C100:E100"/>
    <mergeCell ref="C101:E101"/>
    <mergeCell ref="B94:E94"/>
    <mergeCell ref="C82:E82"/>
    <mergeCell ref="C83:E83"/>
    <mergeCell ref="B84:E84"/>
    <mergeCell ref="B86:F86"/>
    <mergeCell ref="C87:D87"/>
    <mergeCell ref="C88:D88"/>
    <mergeCell ref="C89:D89"/>
    <mergeCell ref="C90:D90"/>
    <mergeCell ref="C91:D91"/>
    <mergeCell ref="C92:D92"/>
    <mergeCell ref="C93:D93"/>
    <mergeCell ref="C81:E81"/>
    <mergeCell ref="C67:D67"/>
    <mergeCell ref="C68:D68"/>
    <mergeCell ref="C69:D69"/>
    <mergeCell ref="C70:D70"/>
    <mergeCell ref="C71:D71"/>
    <mergeCell ref="B72:E72"/>
    <mergeCell ref="C74:E74"/>
    <mergeCell ref="C75:E75"/>
    <mergeCell ref="B76:E76"/>
    <mergeCell ref="C79:E79"/>
    <mergeCell ref="C80:E80"/>
    <mergeCell ref="C66:D66"/>
    <mergeCell ref="C51:E51"/>
    <mergeCell ref="C52:E52"/>
    <mergeCell ref="C53:E53"/>
    <mergeCell ref="C54:E54"/>
    <mergeCell ref="B55:E55"/>
    <mergeCell ref="C57:D57"/>
    <mergeCell ref="C58:D58"/>
    <mergeCell ref="C59:D59"/>
    <mergeCell ref="C60:D60"/>
    <mergeCell ref="B61:E61"/>
    <mergeCell ref="C65:D65"/>
    <mergeCell ref="C50:E50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B47:E47"/>
    <mergeCell ref="C49:E49"/>
    <mergeCell ref="B37:F37"/>
    <mergeCell ref="C24:E24"/>
    <mergeCell ref="C25:E25"/>
    <mergeCell ref="C26:E26"/>
    <mergeCell ref="C27:E27"/>
    <mergeCell ref="C28:E28"/>
    <mergeCell ref="C29:E29"/>
    <mergeCell ref="B30:E30"/>
    <mergeCell ref="C33:D33"/>
    <mergeCell ref="C34:D34"/>
    <mergeCell ref="C35:D35"/>
    <mergeCell ref="B36:E36"/>
    <mergeCell ref="C23:E23"/>
    <mergeCell ref="C11:E11"/>
    <mergeCell ref="C12:E12"/>
    <mergeCell ref="C14:D14"/>
    <mergeCell ref="E14:F14"/>
    <mergeCell ref="D15:F15"/>
    <mergeCell ref="D16:F16"/>
    <mergeCell ref="C17:E17"/>
    <mergeCell ref="B18:F18"/>
    <mergeCell ref="B19:F19"/>
    <mergeCell ref="C21:E21"/>
    <mergeCell ref="C22:E22"/>
    <mergeCell ref="C10:E10"/>
    <mergeCell ref="B1:F1"/>
    <mergeCell ref="B2:D2"/>
    <mergeCell ref="B3:F3"/>
    <mergeCell ref="B4:F4"/>
    <mergeCell ref="B5:C5"/>
    <mergeCell ref="D5:F5"/>
    <mergeCell ref="B6:C6"/>
    <mergeCell ref="D6:E6"/>
    <mergeCell ref="B7:F7"/>
    <mergeCell ref="C8:E8"/>
    <mergeCell ref="D9:F9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B3C6B-EFF9-45DD-BFFD-3A627ED37692}">
  <dimension ref="A1:AMJ106"/>
  <sheetViews>
    <sheetView showGridLines="0" zoomScale="140" zoomScaleNormal="140" workbookViewId="0">
      <selection activeCell="F104" sqref="F104"/>
    </sheetView>
  </sheetViews>
  <sheetFormatPr defaultColWidth="9.140625" defaultRowHeight="16.5"/>
  <cols>
    <col min="1" max="1" width="2.7109375" style="77" customWidth="1"/>
    <col min="2" max="2" width="8.85546875" style="77" customWidth="1"/>
    <col min="3" max="3" width="52.5703125" style="77" customWidth="1"/>
    <col min="4" max="4" width="7.85546875" style="77" customWidth="1"/>
    <col min="5" max="5" width="13.5703125" style="77" customWidth="1"/>
    <col min="6" max="6" width="19.7109375" style="77" customWidth="1"/>
    <col min="7" max="7" width="11.85546875" style="77" customWidth="1"/>
    <col min="8" max="1024" width="9.140625" style="77"/>
  </cols>
  <sheetData>
    <row r="1" spans="2:6" customFormat="1" ht="20.25">
      <c r="B1" s="323" t="s">
        <v>59</v>
      </c>
      <c r="C1" s="324"/>
      <c r="D1" s="324"/>
      <c r="E1" s="324"/>
      <c r="F1" s="325"/>
    </row>
    <row r="2" spans="2:6" customFormat="1" ht="20.25">
      <c r="B2" s="286" t="s">
        <v>423</v>
      </c>
      <c r="C2" s="286"/>
      <c r="D2" s="286"/>
      <c r="E2" s="108" t="s">
        <v>424</v>
      </c>
      <c r="F2" s="163" t="str">
        <f>DATA_DO_ORCAMENTO_ESTIMATIVO</f>
        <v>XX/XX/20XX</v>
      </c>
    </row>
    <row r="3" spans="2:6" s="92" customFormat="1" ht="25.5">
      <c r="B3" s="287" t="s">
        <v>425</v>
      </c>
      <c r="C3" s="287"/>
      <c r="D3" s="287"/>
      <c r="E3" s="287"/>
      <c r="F3" s="287"/>
    </row>
    <row r="4" spans="2:6" s="92" customFormat="1" ht="15.95" customHeight="1">
      <c r="B4" s="288" t="s">
        <v>1</v>
      </c>
      <c r="C4" s="288"/>
      <c r="D4" s="288"/>
      <c r="E4" s="288"/>
      <c r="F4" s="288"/>
    </row>
    <row r="5" spans="2:6" s="92" customFormat="1" ht="15.95" customHeight="1">
      <c r="B5" s="284" t="s">
        <v>2</v>
      </c>
      <c r="C5" s="284"/>
      <c r="D5" s="289" t="s">
        <v>20</v>
      </c>
      <c r="E5" s="289"/>
      <c r="F5" s="289"/>
    </row>
    <row r="6" spans="2:6" s="92" customFormat="1" ht="15.75" customHeight="1">
      <c r="B6" s="290" t="s">
        <v>3</v>
      </c>
      <c r="C6" s="290"/>
      <c r="D6" s="291" t="str">
        <f>MODALIDADE_DE_LICITACAO</f>
        <v>Pregão nº</v>
      </c>
      <c r="E6" s="291"/>
      <c r="F6" s="111" t="s">
        <v>513</v>
      </c>
    </row>
    <row r="7" spans="2:6" s="92" customFormat="1" ht="15.75" customHeight="1">
      <c r="B7" s="292" t="s">
        <v>426</v>
      </c>
      <c r="C7" s="292"/>
      <c r="D7" s="292"/>
      <c r="E7" s="292"/>
      <c r="F7" s="292"/>
    </row>
    <row r="8" spans="2:6" s="92" customFormat="1" ht="18" customHeight="1">
      <c r="B8" s="164" t="s">
        <v>333</v>
      </c>
      <c r="C8" s="284" t="s">
        <v>427</v>
      </c>
      <c r="D8" s="284"/>
      <c r="E8" s="284"/>
      <c r="F8" s="165" t="str">
        <f>DATA_APRESENTACAO_PROPOSTA</f>
        <v>XX/XX/20XX</v>
      </c>
    </row>
    <row r="9" spans="2:6" s="92" customFormat="1" ht="15.95" customHeight="1">
      <c r="B9" s="166" t="s">
        <v>331</v>
      </c>
      <c r="C9" s="115" t="s">
        <v>428</v>
      </c>
      <c r="D9" s="293" t="s">
        <v>484</v>
      </c>
      <c r="E9" s="293"/>
      <c r="F9" s="293"/>
    </row>
    <row r="10" spans="2:6" s="92" customFormat="1" ht="18.75" customHeight="1">
      <c r="B10" s="164" t="s">
        <v>349</v>
      </c>
      <c r="C10" s="284" t="s">
        <v>429</v>
      </c>
      <c r="D10" s="284"/>
      <c r="E10" s="284"/>
      <c r="F10" s="165" t="s">
        <v>430</v>
      </c>
    </row>
    <row r="11" spans="2:6" s="92" customFormat="1" ht="15.95" customHeight="1">
      <c r="B11" s="166" t="s">
        <v>347</v>
      </c>
      <c r="C11" s="295" t="s">
        <v>431</v>
      </c>
      <c r="D11" s="295"/>
      <c r="E11" s="295"/>
      <c r="F11" s="116">
        <f>NUMERO_MESES_EXEC_CONTRATUAL</f>
        <v>12</v>
      </c>
    </row>
    <row r="12" spans="2:6" s="92" customFormat="1">
      <c r="B12" s="166" t="s">
        <v>345</v>
      </c>
      <c r="C12" s="296" t="s">
        <v>432</v>
      </c>
      <c r="D12" s="296"/>
      <c r="E12" s="296"/>
      <c r="F12" s="110">
        <v>1</v>
      </c>
    </row>
    <row r="13" spans="2:6" s="119" customFormat="1" ht="15" customHeight="1">
      <c r="B13" s="117" t="s">
        <v>433</v>
      </c>
      <c r="C13" s="118"/>
      <c r="D13" s="118"/>
      <c r="E13" s="118"/>
      <c r="F13" s="118"/>
    </row>
    <row r="14" spans="2:6" s="92" customFormat="1">
      <c r="B14" s="164">
        <v>1</v>
      </c>
      <c r="C14" s="284" t="s">
        <v>434</v>
      </c>
      <c r="D14" s="284"/>
      <c r="E14" s="352" t="s">
        <v>482</v>
      </c>
      <c r="F14" s="353"/>
    </row>
    <row r="15" spans="2:6" s="92" customFormat="1">
      <c r="B15" s="164">
        <v>2</v>
      </c>
      <c r="C15" s="120" t="s">
        <v>436</v>
      </c>
      <c r="D15" s="354" t="s">
        <v>483</v>
      </c>
      <c r="E15" s="355"/>
      <c r="F15" s="356"/>
    </row>
    <row r="16" spans="2:6" s="92" customFormat="1" ht="15" customHeight="1">
      <c r="B16" s="164">
        <v>3</v>
      </c>
      <c r="C16" s="121" t="s">
        <v>438</v>
      </c>
      <c r="D16" s="289" t="str">
        <f>IF(CATEGORIA_PROFISSIONAL="","",CATEGORIA_PROFISSIONAL)</f>
        <v/>
      </c>
      <c r="E16" s="289"/>
      <c r="F16" s="289"/>
    </row>
    <row r="17" spans="2:6" s="92" customFormat="1" ht="15" customHeight="1">
      <c r="B17" s="164">
        <v>4</v>
      </c>
      <c r="C17" s="290" t="s">
        <v>439</v>
      </c>
      <c r="D17" s="290"/>
      <c r="E17" s="290"/>
      <c r="F17" s="122">
        <v>44774</v>
      </c>
    </row>
    <row r="18" spans="2:6" s="123" customFormat="1" ht="20.25" customHeight="1">
      <c r="B18" s="299" t="s">
        <v>440</v>
      </c>
      <c r="C18" s="299"/>
      <c r="D18" s="299"/>
      <c r="E18" s="299"/>
      <c r="F18" s="299"/>
    </row>
    <row r="19" spans="2:6" customFormat="1">
      <c r="B19" s="329" t="s">
        <v>441</v>
      </c>
      <c r="C19" s="330"/>
      <c r="D19" s="330"/>
      <c r="E19" s="330"/>
      <c r="F19" s="331"/>
    </row>
    <row r="20" spans="2:6" customFormat="1">
      <c r="B20" s="124" t="s">
        <v>383</v>
      </c>
      <c r="C20" s="77"/>
      <c r="D20" s="77"/>
      <c r="E20" s="100"/>
      <c r="F20" s="100"/>
    </row>
    <row r="21" spans="2:6" customFormat="1" ht="16.5" customHeight="1">
      <c r="B21" s="166">
        <v>1</v>
      </c>
      <c r="C21" s="332" t="s">
        <v>382</v>
      </c>
      <c r="D21" s="333"/>
      <c r="E21" s="334"/>
      <c r="F21" s="168" t="s">
        <v>442</v>
      </c>
    </row>
    <row r="22" spans="2:6" customFormat="1" ht="16.350000000000001" customHeight="1">
      <c r="B22" s="166" t="s">
        <v>333</v>
      </c>
      <c r="C22" s="335" t="s">
        <v>443</v>
      </c>
      <c r="D22" s="336"/>
      <c r="E22" s="337"/>
      <c r="F22" s="169"/>
    </row>
    <row r="23" spans="2:6" customFormat="1" ht="16.5" customHeight="1">
      <c r="B23" s="166" t="s">
        <v>331</v>
      </c>
      <c r="C23" s="338" t="s">
        <v>444</v>
      </c>
      <c r="D23" s="339"/>
      <c r="E23" s="340"/>
      <c r="F23" s="170"/>
    </row>
    <row r="24" spans="2:6" customFormat="1" ht="15.75" customHeight="1">
      <c r="B24" s="166" t="s">
        <v>349</v>
      </c>
      <c r="C24" s="341" t="s">
        <v>445</v>
      </c>
      <c r="D24" s="342"/>
      <c r="E24" s="343"/>
      <c r="F24" s="169"/>
    </row>
    <row r="25" spans="2:6" customFormat="1" ht="15.75" customHeight="1">
      <c r="B25" s="166" t="s">
        <v>347</v>
      </c>
      <c r="C25" s="338" t="s">
        <v>446</v>
      </c>
      <c r="D25" s="339"/>
      <c r="E25" s="340"/>
      <c r="F25" s="170"/>
    </row>
    <row r="26" spans="2:6" customFormat="1" ht="15.75" customHeight="1">
      <c r="B26" s="166" t="s">
        <v>345</v>
      </c>
      <c r="C26" s="344" t="s">
        <v>447</v>
      </c>
      <c r="D26" s="345"/>
      <c r="E26" s="346"/>
      <c r="F26" s="169"/>
    </row>
    <row r="27" spans="2:6" customFormat="1">
      <c r="B27" s="166" t="s">
        <v>343</v>
      </c>
      <c r="C27" s="326" t="str">
        <f>OUTROS_REMUNERACAO_1_DESCRICAO</f>
        <v>Outras Remunerações 1 (Especificar)</v>
      </c>
      <c r="D27" s="327"/>
      <c r="E27" s="328"/>
      <c r="F27" s="170"/>
    </row>
    <row r="28" spans="2:6" customFormat="1">
      <c r="B28" s="166" t="s">
        <v>341</v>
      </c>
      <c r="C28" s="335" t="str">
        <f>OUTROS_REMUNERACAO_2_DESCRICAO</f>
        <v>Outras Remunerações 2 (Especificar)</v>
      </c>
      <c r="D28" s="336"/>
      <c r="E28" s="337"/>
      <c r="F28" s="169"/>
    </row>
    <row r="29" spans="2:6" customFormat="1">
      <c r="B29" s="166" t="s">
        <v>339</v>
      </c>
      <c r="C29" s="326" t="str">
        <f>OUTROS_REMUNERACAO_3_DESCRICAO</f>
        <v>Outras Remunerações 3 (Especificar)</v>
      </c>
      <c r="D29" s="327"/>
      <c r="E29" s="328"/>
      <c r="F29" s="170"/>
    </row>
    <row r="30" spans="2:6" customFormat="1" ht="16.5" customHeight="1">
      <c r="B30" s="347" t="s">
        <v>406</v>
      </c>
      <c r="C30" s="347"/>
      <c r="D30" s="347"/>
      <c r="E30" s="347"/>
      <c r="F30" s="171"/>
    </row>
    <row r="31" spans="2:6" customFormat="1">
      <c r="B31" s="124" t="s">
        <v>386</v>
      </c>
      <c r="C31" s="77"/>
      <c r="D31" s="77"/>
      <c r="E31" s="102"/>
      <c r="F31" s="102"/>
    </row>
    <row r="32" spans="2:6" customFormat="1">
      <c r="B32" s="124" t="s">
        <v>387</v>
      </c>
      <c r="C32" s="89"/>
      <c r="D32" s="88"/>
      <c r="E32" s="87"/>
      <c r="F32" s="87"/>
    </row>
    <row r="33" spans="2:6" customFormat="1">
      <c r="B33" s="166" t="s">
        <v>388</v>
      </c>
      <c r="C33" s="348" t="s">
        <v>389</v>
      </c>
      <c r="D33" s="348"/>
      <c r="E33" s="168" t="s">
        <v>366</v>
      </c>
      <c r="F33" s="168" t="s">
        <v>442</v>
      </c>
    </row>
    <row r="34" spans="2:6" customFormat="1" ht="16.5" customHeight="1">
      <c r="B34" s="166" t="s">
        <v>333</v>
      </c>
      <c r="C34" s="307" t="s">
        <v>391</v>
      </c>
      <c r="D34" s="307"/>
      <c r="E34" s="129">
        <f>PERC_DEC_TERC</f>
        <v>8.3333333333333304</v>
      </c>
      <c r="F34" s="172"/>
    </row>
    <row r="35" spans="2:6" s="77" customFormat="1" ht="16.5" customHeight="1">
      <c r="B35" s="168" t="s">
        <v>331</v>
      </c>
      <c r="C35" s="294" t="s">
        <v>393</v>
      </c>
      <c r="D35" s="294"/>
      <c r="E35" s="131">
        <f>PERC_ADIC_FERIAS</f>
        <v>2.7777777777777799</v>
      </c>
      <c r="F35" s="173"/>
    </row>
    <row r="36" spans="2:6" s="81" customFormat="1">
      <c r="B36" s="348" t="s">
        <v>406</v>
      </c>
      <c r="C36" s="348"/>
      <c r="D36" s="348"/>
      <c r="E36" s="348"/>
      <c r="F36" s="174"/>
    </row>
    <row r="37" spans="2:6" s="81" customFormat="1" ht="31.5" customHeight="1">
      <c r="B37" s="305" t="s">
        <v>395</v>
      </c>
      <c r="C37" s="305"/>
      <c r="D37" s="305"/>
      <c r="E37" s="305"/>
      <c r="F37" s="305"/>
    </row>
    <row r="38" spans="2:6" s="81" customFormat="1" ht="34.5" customHeight="1">
      <c r="B38" s="166" t="s">
        <v>396</v>
      </c>
      <c r="C38" s="349" t="s">
        <v>397</v>
      </c>
      <c r="D38" s="349"/>
      <c r="E38" s="168" t="s">
        <v>366</v>
      </c>
      <c r="F38" s="168" t="s">
        <v>442</v>
      </c>
    </row>
    <row r="39" spans="2:6" customFormat="1" ht="16.5" customHeight="1">
      <c r="B39" s="166" t="s">
        <v>333</v>
      </c>
      <c r="C39" s="307" t="s">
        <v>398</v>
      </c>
      <c r="D39" s="307"/>
      <c r="E39" s="175">
        <f>PERC_INSS</f>
        <v>20</v>
      </c>
      <c r="F39" s="172"/>
    </row>
    <row r="40" spans="2:6" s="92" customFormat="1" ht="16.5" customHeight="1">
      <c r="B40" s="168" t="s">
        <v>331</v>
      </c>
      <c r="C40" s="294" t="s">
        <v>399</v>
      </c>
      <c r="D40" s="294"/>
      <c r="E40" s="176">
        <f>PERC_SAL_EDUCACAO</f>
        <v>2.5</v>
      </c>
      <c r="F40" s="173"/>
    </row>
    <row r="41" spans="2:6" s="92" customFormat="1" ht="16.5" customHeight="1">
      <c r="B41" s="168" t="s">
        <v>349</v>
      </c>
      <c r="C41" s="307" t="s">
        <v>400</v>
      </c>
      <c r="D41" s="307"/>
      <c r="E41" s="175">
        <f>PERC_RAT</f>
        <v>3</v>
      </c>
      <c r="F41" s="172"/>
    </row>
    <row r="42" spans="2:6" s="92" customFormat="1" ht="16.5" customHeight="1">
      <c r="B42" s="168" t="s">
        <v>347</v>
      </c>
      <c r="C42" s="294" t="s">
        <v>401</v>
      </c>
      <c r="D42" s="294"/>
      <c r="E42" s="177">
        <f>PERC_SESC</f>
        <v>1.5</v>
      </c>
      <c r="F42" s="173"/>
    </row>
    <row r="43" spans="2:6" s="92" customFormat="1" ht="16.5" customHeight="1">
      <c r="B43" s="168" t="s">
        <v>345</v>
      </c>
      <c r="C43" s="307" t="s">
        <v>402</v>
      </c>
      <c r="D43" s="307"/>
      <c r="E43" s="175">
        <f>PERC_SENAC</f>
        <v>1</v>
      </c>
      <c r="F43" s="172"/>
    </row>
    <row r="44" spans="2:6" s="92" customFormat="1" ht="16.5" customHeight="1">
      <c r="B44" s="168" t="s">
        <v>343</v>
      </c>
      <c r="C44" s="294" t="s">
        <v>403</v>
      </c>
      <c r="D44" s="294"/>
      <c r="E44" s="176">
        <f>PERC_SEBRAE</f>
        <v>0.6</v>
      </c>
      <c r="F44" s="173"/>
    </row>
    <row r="45" spans="2:6" s="92" customFormat="1" ht="16.5" customHeight="1">
      <c r="B45" s="168" t="s">
        <v>341</v>
      </c>
      <c r="C45" s="307" t="s">
        <v>404</v>
      </c>
      <c r="D45" s="307"/>
      <c r="E45" s="175">
        <f>PERC_INCRA</f>
        <v>0.2</v>
      </c>
      <c r="F45" s="172"/>
    </row>
    <row r="46" spans="2:6" customFormat="1" ht="16.5" customHeight="1">
      <c r="B46" s="168" t="s">
        <v>339</v>
      </c>
      <c r="C46" s="294" t="s">
        <v>405</v>
      </c>
      <c r="D46" s="294"/>
      <c r="E46" s="176">
        <f>PERC_FGTS</f>
        <v>8</v>
      </c>
      <c r="F46" s="173"/>
    </row>
    <row r="47" spans="2:6" customFormat="1">
      <c r="B47" s="348" t="s">
        <v>406</v>
      </c>
      <c r="C47" s="348"/>
      <c r="D47" s="348"/>
      <c r="E47" s="348"/>
      <c r="F47" s="178"/>
    </row>
    <row r="48" spans="2:6" customFormat="1" ht="15.75" customHeight="1">
      <c r="B48" s="124" t="s">
        <v>370</v>
      </c>
      <c r="C48" s="92"/>
      <c r="D48" s="92"/>
      <c r="E48" s="92"/>
      <c r="F48" s="92"/>
    </row>
    <row r="49" spans="2:7" customFormat="1" ht="15.75" customHeight="1">
      <c r="B49" s="166" t="s">
        <v>369</v>
      </c>
      <c r="C49" s="347" t="s">
        <v>368</v>
      </c>
      <c r="D49" s="347"/>
      <c r="E49" s="347"/>
      <c r="F49" s="168" t="s">
        <v>442</v>
      </c>
      <c r="G49" s="77"/>
    </row>
    <row r="50" spans="2:7" customFormat="1" ht="16.350000000000001" customHeight="1">
      <c r="B50" s="164" t="s">
        <v>333</v>
      </c>
      <c r="C50" s="307" t="s">
        <v>448</v>
      </c>
      <c r="D50" s="307"/>
      <c r="E50" s="307"/>
      <c r="F50" s="172"/>
      <c r="G50" s="77"/>
    </row>
    <row r="51" spans="2:7" s="81" customFormat="1" ht="16.5" customHeight="1">
      <c r="B51" s="164" t="s">
        <v>331</v>
      </c>
      <c r="C51" s="294" t="s">
        <v>449</v>
      </c>
      <c r="D51" s="294"/>
      <c r="E51" s="294"/>
      <c r="F51" s="173"/>
      <c r="G51" s="136"/>
    </row>
    <row r="52" spans="2:7" s="81" customFormat="1">
      <c r="B52" s="164" t="s">
        <v>349</v>
      </c>
      <c r="C52" s="304" t="str">
        <f>OUTROS_BENEFICIOS_1_DESCRICAO</f>
        <v>Outros Benefícios 1 (Especificar)</v>
      </c>
      <c r="D52" s="304"/>
      <c r="E52" s="304"/>
      <c r="F52" s="172"/>
    </row>
    <row r="53" spans="2:7" s="81" customFormat="1">
      <c r="B53" s="164" t="s">
        <v>347</v>
      </c>
      <c r="C53" s="308" t="str">
        <f>OUTROS_BENEFICIOS_2_DESCRICAO</f>
        <v>Outros Benefícios 2 (Especificar)</v>
      </c>
      <c r="D53" s="308"/>
      <c r="E53" s="308"/>
      <c r="F53" s="173"/>
    </row>
    <row r="54" spans="2:7" s="81" customFormat="1">
      <c r="B54" s="164" t="s">
        <v>345</v>
      </c>
      <c r="C54" s="304" t="str">
        <f>OUTROS_BENEFICIOS_3_DESCRICAO</f>
        <v>Outros Benefícios 3 (Especificar)</v>
      </c>
      <c r="D54" s="304"/>
      <c r="E54" s="304"/>
      <c r="F54" s="172"/>
    </row>
    <row r="55" spans="2:7" s="81" customFormat="1" ht="15" customHeight="1">
      <c r="B55" s="347" t="s">
        <v>406</v>
      </c>
      <c r="C55" s="347"/>
      <c r="D55" s="347"/>
      <c r="E55" s="347"/>
      <c r="F55" s="171"/>
    </row>
    <row r="56" spans="2:7" s="81" customFormat="1">
      <c r="B56" s="124" t="s">
        <v>363</v>
      </c>
      <c r="C56" s="89"/>
      <c r="D56" s="88"/>
      <c r="E56" s="87"/>
      <c r="F56" s="87"/>
    </row>
    <row r="57" spans="2:7" s="81" customFormat="1" ht="15" customHeight="1">
      <c r="B57" s="166">
        <v>3</v>
      </c>
      <c r="C57" s="348" t="s">
        <v>362</v>
      </c>
      <c r="D57" s="348"/>
      <c r="E57" s="168" t="s">
        <v>366</v>
      </c>
      <c r="F57" s="168" t="s">
        <v>442</v>
      </c>
    </row>
    <row r="58" spans="2:7" s="81" customFormat="1">
      <c r="B58" s="166" t="s">
        <v>333</v>
      </c>
      <c r="C58" s="311" t="s">
        <v>407</v>
      </c>
      <c r="D58" s="311"/>
      <c r="E58" s="175">
        <f>PERC_AVISO_PREVIO_IND</f>
        <v>0.29105124999999998</v>
      </c>
      <c r="F58" s="172"/>
    </row>
    <row r="59" spans="2:7" s="81" customFormat="1">
      <c r="B59" s="168" t="s">
        <v>331</v>
      </c>
      <c r="C59" s="312" t="s">
        <v>409</v>
      </c>
      <c r="D59" s="312"/>
      <c r="E59" s="176">
        <f>PERC_AVISO_PREVIO_TRAB</f>
        <v>1.15572693055556</v>
      </c>
      <c r="F59" s="173"/>
    </row>
    <row r="60" spans="2:7" s="92" customFormat="1">
      <c r="B60" s="168" t="s">
        <v>349</v>
      </c>
      <c r="C60" s="311" t="s">
        <v>411</v>
      </c>
      <c r="D60" s="311"/>
      <c r="E60" s="175">
        <f>PERC_MULTA_FGTS_AV_PREV_TRAB</f>
        <v>0.04</v>
      </c>
      <c r="F60" s="172"/>
    </row>
    <row r="61" spans="2:7" s="92" customFormat="1">
      <c r="B61" s="348" t="s">
        <v>406</v>
      </c>
      <c r="C61" s="348"/>
      <c r="D61" s="348"/>
      <c r="E61" s="348"/>
      <c r="F61" s="174"/>
    </row>
    <row r="62" spans="2:7" customFormat="1" ht="7.5" customHeight="1">
      <c r="B62" s="137"/>
      <c r="C62" s="77"/>
      <c r="D62" s="138"/>
      <c r="E62" s="100"/>
      <c r="F62" s="100"/>
      <c r="G62" s="77"/>
    </row>
    <row r="63" spans="2:7" s="92" customFormat="1" ht="15.95" customHeight="1">
      <c r="B63" s="124" t="s">
        <v>356</v>
      </c>
      <c r="C63" s="89"/>
      <c r="D63" s="88"/>
      <c r="E63" s="77"/>
      <c r="F63" s="77"/>
    </row>
    <row r="64" spans="2:7" s="92" customFormat="1" ht="15.95" customHeight="1">
      <c r="B64" s="124" t="s">
        <v>355</v>
      </c>
      <c r="C64" s="89"/>
      <c r="D64" s="88"/>
      <c r="E64" s="87"/>
      <c r="F64" s="87"/>
    </row>
    <row r="65" spans="2:6" s="92" customFormat="1" ht="16.5" customHeight="1">
      <c r="B65" s="166" t="s">
        <v>354</v>
      </c>
      <c r="C65" s="347" t="s">
        <v>353</v>
      </c>
      <c r="D65" s="347"/>
      <c r="E65" s="168" t="s">
        <v>366</v>
      </c>
      <c r="F65" s="168" t="s">
        <v>442</v>
      </c>
    </row>
    <row r="66" spans="2:6" s="92" customFormat="1" ht="15.95" customHeight="1">
      <c r="B66" s="168" t="s">
        <v>333</v>
      </c>
      <c r="C66" s="307" t="s">
        <v>413</v>
      </c>
      <c r="D66" s="307"/>
      <c r="E66" s="129">
        <f>PERC_SUBSTITUTO_FERIAS</f>
        <v>8.3333333333333304</v>
      </c>
      <c r="F66" s="172"/>
    </row>
    <row r="67" spans="2:6" s="92" customFormat="1" ht="15.95" customHeight="1">
      <c r="B67" s="168" t="s">
        <v>331</v>
      </c>
      <c r="C67" s="294" t="s">
        <v>415</v>
      </c>
      <c r="D67" s="294"/>
      <c r="E67" s="176">
        <f>PERC_SUBSTITUTO_AUSENCIAS_LEGAIS</f>
        <v>2.2222222222222201</v>
      </c>
      <c r="F67" s="173"/>
    </row>
    <row r="68" spans="2:6" s="92" customFormat="1" ht="15.95" customHeight="1">
      <c r="B68" s="168" t="s">
        <v>349</v>
      </c>
      <c r="C68" s="307" t="s">
        <v>417</v>
      </c>
      <c r="D68" s="307"/>
      <c r="E68" s="175">
        <f>PERC_SUBSTITUTO_LICENCA_PATERNIDADE</f>
        <v>3.56735555555555E-2</v>
      </c>
      <c r="F68" s="172"/>
    </row>
    <row r="69" spans="2:6" s="92" customFormat="1" ht="16.5" customHeight="1">
      <c r="B69" s="168" t="s">
        <v>347</v>
      </c>
      <c r="C69" s="294" t="s">
        <v>419</v>
      </c>
      <c r="D69" s="294"/>
      <c r="E69" s="176">
        <f>PERC_SUBSTITUTO_ACID_TRAB</f>
        <v>1.85302229372558E-2</v>
      </c>
      <c r="F69" s="173"/>
    </row>
    <row r="70" spans="2:6" s="92" customFormat="1" ht="16.5" customHeight="1">
      <c r="B70" s="168" t="s">
        <v>345</v>
      </c>
      <c r="C70" s="307" t="s">
        <v>421</v>
      </c>
      <c r="D70" s="307"/>
      <c r="E70" s="175">
        <f>PERC_SUBSTITUTO_AFAST_MATERN</f>
        <v>0.14312918399999999</v>
      </c>
      <c r="F70" s="172"/>
    </row>
    <row r="71" spans="2:6" s="92" customFormat="1">
      <c r="B71" s="168" t="s">
        <v>343</v>
      </c>
      <c r="C71" s="314" t="str">
        <f>OUTRAS_AUSENCIAS_DESCRICAO</f>
        <v>Outras Ausências (Especificar - em %)</v>
      </c>
      <c r="D71" s="314"/>
      <c r="E71" s="179">
        <f>PERC_SUBSTITUTO_OUTRAS_AUSENCIAS</f>
        <v>0</v>
      </c>
      <c r="F71" s="173"/>
    </row>
    <row r="72" spans="2:6" s="92" customFormat="1">
      <c r="B72" s="348" t="s">
        <v>406</v>
      </c>
      <c r="C72" s="348"/>
      <c r="D72" s="348"/>
      <c r="E72" s="348"/>
      <c r="F72" s="174"/>
    </row>
    <row r="73" spans="2:6" s="92" customFormat="1" ht="15" customHeight="1">
      <c r="B73" s="124" t="s">
        <v>450</v>
      </c>
      <c r="C73" s="89"/>
      <c r="D73" s="88"/>
      <c r="E73" s="87"/>
      <c r="F73" s="87"/>
    </row>
    <row r="74" spans="2:6" s="92" customFormat="1">
      <c r="B74" s="166" t="s">
        <v>336</v>
      </c>
      <c r="C74" s="348" t="s">
        <v>451</v>
      </c>
      <c r="D74" s="348"/>
      <c r="E74" s="348"/>
      <c r="F74" s="168" t="s">
        <v>442</v>
      </c>
    </row>
    <row r="75" spans="2:6" s="92" customFormat="1" ht="16.5" customHeight="1">
      <c r="B75" s="166" t="s">
        <v>333</v>
      </c>
      <c r="C75" s="307" t="s">
        <v>452</v>
      </c>
      <c r="D75" s="307"/>
      <c r="E75" s="307"/>
      <c r="F75" s="169"/>
    </row>
    <row r="76" spans="2:6" s="92" customFormat="1">
      <c r="B76" s="348" t="s">
        <v>406</v>
      </c>
      <c r="C76" s="348"/>
      <c r="D76" s="348"/>
      <c r="E76" s="348"/>
      <c r="F76" s="174"/>
    </row>
    <row r="77" spans="2:6" customFormat="1" ht="7.5" customHeight="1">
      <c r="B77" s="137"/>
      <c r="C77" s="77"/>
      <c r="D77" s="138"/>
      <c r="E77" s="100"/>
      <c r="F77" s="100"/>
    </row>
    <row r="78" spans="2:6" customFormat="1">
      <c r="B78" s="124" t="s">
        <v>453</v>
      </c>
      <c r="C78" s="89"/>
      <c r="D78" s="89"/>
      <c r="E78" s="87"/>
      <c r="F78" s="87"/>
    </row>
    <row r="79" spans="2:6" customFormat="1" ht="15.75" customHeight="1">
      <c r="B79" s="180">
        <v>5</v>
      </c>
      <c r="C79" s="350" t="s">
        <v>454</v>
      </c>
      <c r="D79" s="350"/>
      <c r="E79" s="350"/>
      <c r="F79" s="181" t="s">
        <v>442</v>
      </c>
    </row>
    <row r="80" spans="2:6" customFormat="1" ht="16.5" customHeight="1">
      <c r="B80" s="182" t="s">
        <v>333</v>
      </c>
      <c r="C80" s="316" t="s">
        <v>455</v>
      </c>
      <c r="D80" s="316"/>
      <c r="E80" s="316"/>
      <c r="F80" s="183"/>
    </row>
    <row r="81" spans="2:6" customFormat="1" ht="16.5" customHeight="1">
      <c r="B81" s="182" t="s">
        <v>331</v>
      </c>
      <c r="C81" s="313" t="s">
        <v>456</v>
      </c>
      <c r="D81" s="313"/>
      <c r="E81" s="313"/>
      <c r="F81" s="184"/>
    </row>
    <row r="82" spans="2:6" customFormat="1" ht="16.5" customHeight="1">
      <c r="B82" s="182" t="s">
        <v>349</v>
      </c>
      <c r="C82" s="316" t="s">
        <v>457</v>
      </c>
      <c r="D82" s="316"/>
      <c r="E82" s="316"/>
      <c r="F82" s="183"/>
    </row>
    <row r="83" spans="2:6" customFormat="1" ht="16.350000000000001" customHeight="1">
      <c r="B83" s="182" t="s">
        <v>347</v>
      </c>
      <c r="C83" s="317" t="s">
        <v>458</v>
      </c>
      <c r="D83" s="317"/>
      <c r="E83" s="317"/>
      <c r="F83" s="184"/>
    </row>
    <row r="84" spans="2:6" customFormat="1" ht="16.5" customHeight="1">
      <c r="B84" s="350" t="s">
        <v>406</v>
      </c>
      <c r="C84" s="350"/>
      <c r="D84" s="350"/>
      <c r="E84" s="350"/>
      <c r="F84" s="185"/>
    </row>
    <row r="85" spans="2:6" customFormat="1" ht="7.5" customHeight="1">
      <c r="B85" s="137"/>
      <c r="C85" s="77"/>
      <c r="D85" s="138"/>
      <c r="E85" s="100"/>
      <c r="F85" s="100"/>
    </row>
    <row r="86" spans="2:6" customFormat="1" ht="15" customHeight="1">
      <c r="B86" s="318" t="s">
        <v>459</v>
      </c>
      <c r="C86" s="318"/>
      <c r="D86" s="318"/>
      <c r="E86" s="318"/>
      <c r="F86" s="318"/>
    </row>
    <row r="87" spans="2:6" customFormat="1">
      <c r="B87" s="166">
        <v>6</v>
      </c>
      <c r="C87" s="348" t="s">
        <v>460</v>
      </c>
      <c r="D87" s="348"/>
      <c r="E87" s="168" t="s">
        <v>366</v>
      </c>
      <c r="F87" s="168" t="s">
        <v>442</v>
      </c>
    </row>
    <row r="88" spans="2:6" customFormat="1" ht="16.5" customHeight="1">
      <c r="B88" s="166" t="s">
        <v>333</v>
      </c>
      <c r="C88" s="307" t="s">
        <v>461</v>
      </c>
      <c r="D88" s="307"/>
      <c r="E88" s="203">
        <f>'Cálculo do BDI'!C20+'Cálculo do BDI'!C21+'Cálculo do BDI'!C22+'Cálculo do BDI'!C23</f>
        <v>5.1500000000000004E-2</v>
      </c>
      <c r="F88" s="172"/>
    </row>
    <row r="89" spans="2:6" customFormat="1" ht="15.75" customHeight="1">
      <c r="B89" s="168" t="s">
        <v>331</v>
      </c>
      <c r="C89" s="294" t="s">
        <v>462</v>
      </c>
      <c r="D89" s="294"/>
      <c r="E89" s="204">
        <f>'Cálculo do BDI'!C24</f>
        <v>5.0500000000000003E-2</v>
      </c>
      <c r="F89" s="173"/>
    </row>
    <row r="90" spans="2:6" customFormat="1" ht="16.5" customHeight="1">
      <c r="B90" s="168" t="s">
        <v>349</v>
      </c>
      <c r="C90" s="307" t="s">
        <v>463</v>
      </c>
      <c r="D90" s="307"/>
      <c r="E90" s="186">
        <f>SUM(E91:E94)</f>
        <v>8.6499999999999994E-2</v>
      </c>
      <c r="F90" s="172"/>
    </row>
    <row r="91" spans="2:6" customFormat="1" ht="15.75" customHeight="1">
      <c r="B91" s="187" t="s">
        <v>464</v>
      </c>
      <c r="C91" s="319" t="s">
        <v>16</v>
      </c>
      <c r="D91" s="319"/>
      <c r="E91" s="188">
        <v>6.4999999999999997E-3</v>
      </c>
      <c r="F91" s="189"/>
    </row>
    <row r="92" spans="2:6" customFormat="1" ht="16.5" customHeight="1">
      <c r="B92" s="187" t="s">
        <v>465</v>
      </c>
      <c r="C92" s="320" t="s">
        <v>466</v>
      </c>
      <c r="D92" s="320"/>
      <c r="E92" s="190">
        <v>0.03</v>
      </c>
      <c r="F92" s="191"/>
    </row>
    <row r="93" spans="2:6" s="154" customFormat="1" ht="16.5" customHeight="1">
      <c r="B93" s="187" t="s">
        <v>467</v>
      </c>
      <c r="C93" s="319" t="s">
        <v>468</v>
      </c>
      <c r="D93" s="319"/>
      <c r="E93" s="188">
        <v>0.05</v>
      </c>
      <c r="F93" s="189"/>
    </row>
    <row r="94" spans="2:6" s="154" customFormat="1" ht="16.5" customHeight="1">
      <c r="B94" s="187" t="s">
        <v>478</v>
      </c>
      <c r="C94" s="320" t="s">
        <v>479</v>
      </c>
      <c r="D94" s="320"/>
      <c r="E94" s="190"/>
      <c r="F94" s="191"/>
    </row>
    <row r="95" spans="2:6" s="154" customFormat="1">
      <c r="B95" s="348" t="s">
        <v>406</v>
      </c>
      <c r="C95" s="348"/>
      <c r="D95" s="348"/>
      <c r="E95" s="348"/>
      <c r="F95" s="192"/>
    </row>
    <row r="96" spans="2:6" s="154" customFormat="1" ht="20.25">
      <c r="B96" s="156" t="s">
        <v>469</v>
      </c>
      <c r="C96" s="157"/>
      <c r="D96" s="157"/>
      <c r="E96" s="157"/>
      <c r="F96" s="158"/>
    </row>
    <row r="97" spans="2:6" s="159" customFormat="1" ht="16.5" customHeight="1">
      <c r="B97" s="168" t="s">
        <v>470</v>
      </c>
      <c r="C97" s="347" t="s">
        <v>471</v>
      </c>
      <c r="D97" s="347"/>
      <c r="E97" s="347"/>
      <c r="F97" s="168" t="s">
        <v>472</v>
      </c>
    </row>
    <row r="98" spans="2:6" s="154" customFormat="1" ht="16.5" customHeight="1">
      <c r="B98" s="166">
        <v>1</v>
      </c>
      <c r="C98" s="307" t="s">
        <v>382</v>
      </c>
      <c r="D98" s="307"/>
      <c r="E98" s="307"/>
      <c r="F98" s="172"/>
    </row>
    <row r="99" spans="2:6" s="160" customFormat="1" ht="16.5" customHeight="1">
      <c r="B99" s="168">
        <v>2</v>
      </c>
      <c r="C99" s="294" t="s">
        <v>473</v>
      </c>
      <c r="D99" s="294"/>
      <c r="E99" s="294"/>
      <c r="F99" s="173"/>
    </row>
    <row r="100" spans="2:6" s="160" customFormat="1" ht="16.5" customHeight="1">
      <c r="B100" s="168">
        <v>3</v>
      </c>
      <c r="C100" s="307" t="s">
        <v>362</v>
      </c>
      <c r="D100" s="307"/>
      <c r="E100" s="307"/>
      <c r="F100" s="172"/>
    </row>
    <row r="101" spans="2:6" s="160" customFormat="1" ht="16.5" customHeight="1">
      <c r="B101" s="168">
        <v>4</v>
      </c>
      <c r="C101" s="294" t="s">
        <v>474</v>
      </c>
      <c r="D101" s="294"/>
      <c r="E101" s="294"/>
      <c r="F101" s="173"/>
    </row>
    <row r="102" spans="2:6" s="160" customFormat="1" ht="16.5" customHeight="1">
      <c r="B102" s="168">
        <v>5</v>
      </c>
      <c r="C102" s="307" t="s">
        <v>454</v>
      </c>
      <c r="D102" s="307"/>
      <c r="E102" s="307"/>
      <c r="F102" s="172"/>
    </row>
    <row r="103" spans="2:6" s="160" customFormat="1" ht="16.5" customHeight="1">
      <c r="B103" s="168">
        <v>6</v>
      </c>
      <c r="C103" s="294" t="s">
        <v>460</v>
      </c>
      <c r="D103" s="294"/>
      <c r="E103" s="294"/>
      <c r="F103" s="173"/>
    </row>
    <row r="104" spans="2:6" customFormat="1" ht="16.5" customHeight="1">
      <c r="B104" s="351" t="s">
        <v>475</v>
      </c>
      <c r="C104" s="351"/>
      <c r="D104" s="351"/>
      <c r="E104" s="351"/>
      <c r="F104" s="193"/>
    </row>
    <row r="105" spans="2:6" customFormat="1" ht="16.5" customHeight="1">
      <c r="B105" s="322" t="s">
        <v>476</v>
      </c>
      <c r="C105" s="322"/>
      <c r="D105" s="322"/>
      <c r="E105" s="322"/>
      <c r="F105" s="162">
        <f>VALOR_TOTAL_EMPREGADO*EMPREG_POR_POSTO</f>
        <v>0</v>
      </c>
    </row>
    <row r="106" spans="2:6" customFormat="1" ht="16.5" customHeight="1">
      <c r="B106" s="322" t="s">
        <v>477</v>
      </c>
      <c r="C106" s="322"/>
      <c r="D106" s="322"/>
      <c r="E106" s="322"/>
      <c r="F106" s="162">
        <f>VALOR_TOTAL_EMPREGADO*EMPREG_POR_POSTO*QTDE_POSTOS</f>
        <v>0</v>
      </c>
    </row>
  </sheetData>
  <sheetProtection sheet="1" objects="1" scenarios="1"/>
  <protectedRanges>
    <protectedRange sqref="E90 F2 F8 F10 F22:F30 F34:F36 E39:F46 F47 F50:F55 E58:F60 F61 F66:F72 E67:E71 F75:F76 F80:F84 F88:F95 E90:E94 F98:F104" name="Intervalo1"/>
  </protectedRanges>
  <mergeCells count="95">
    <mergeCell ref="C102:E102"/>
    <mergeCell ref="C103:E103"/>
    <mergeCell ref="B104:E104"/>
    <mergeCell ref="B105:E105"/>
    <mergeCell ref="B106:E106"/>
    <mergeCell ref="C101:E101"/>
    <mergeCell ref="C89:D89"/>
    <mergeCell ref="C90:D90"/>
    <mergeCell ref="C91:D91"/>
    <mergeCell ref="C92:D92"/>
    <mergeCell ref="C93:D93"/>
    <mergeCell ref="C94:D94"/>
    <mergeCell ref="B95:E95"/>
    <mergeCell ref="C97:E97"/>
    <mergeCell ref="C98:E98"/>
    <mergeCell ref="C99:E99"/>
    <mergeCell ref="C100:E100"/>
    <mergeCell ref="C88:D88"/>
    <mergeCell ref="C74:E74"/>
    <mergeCell ref="C75:E75"/>
    <mergeCell ref="B76:E76"/>
    <mergeCell ref="C79:E79"/>
    <mergeCell ref="C80:E80"/>
    <mergeCell ref="C81:E81"/>
    <mergeCell ref="C82:E82"/>
    <mergeCell ref="C83:E83"/>
    <mergeCell ref="B84:E84"/>
    <mergeCell ref="B86:F86"/>
    <mergeCell ref="C87:D87"/>
    <mergeCell ref="B72:E72"/>
    <mergeCell ref="C58:D58"/>
    <mergeCell ref="C59:D59"/>
    <mergeCell ref="C60:D60"/>
    <mergeCell ref="B61:E61"/>
    <mergeCell ref="C65:D65"/>
    <mergeCell ref="C66:D66"/>
    <mergeCell ref="C67:D67"/>
    <mergeCell ref="C68:D68"/>
    <mergeCell ref="C69:D69"/>
    <mergeCell ref="C70:D70"/>
    <mergeCell ref="C71:D71"/>
    <mergeCell ref="C57:D57"/>
    <mergeCell ref="C44:D44"/>
    <mergeCell ref="C45:D45"/>
    <mergeCell ref="C46:D46"/>
    <mergeCell ref="B47:E47"/>
    <mergeCell ref="C49:E49"/>
    <mergeCell ref="C50:E50"/>
    <mergeCell ref="C51:E51"/>
    <mergeCell ref="C52:E52"/>
    <mergeCell ref="C53:E53"/>
    <mergeCell ref="C54:E54"/>
    <mergeCell ref="B55:E55"/>
    <mergeCell ref="C43:D43"/>
    <mergeCell ref="B30:E30"/>
    <mergeCell ref="C33:D33"/>
    <mergeCell ref="C34:D34"/>
    <mergeCell ref="C35:D35"/>
    <mergeCell ref="B36:E36"/>
    <mergeCell ref="B37:F37"/>
    <mergeCell ref="C38:D38"/>
    <mergeCell ref="C39:D39"/>
    <mergeCell ref="C40:D40"/>
    <mergeCell ref="C41:D41"/>
    <mergeCell ref="C42:D42"/>
    <mergeCell ref="C29:E29"/>
    <mergeCell ref="C17:E17"/>
    <mergeCell ref="B18:F18"/>
    <mergeCell ref="B19:F19"/>
    <mergeCell ref="C21:E21"/>
    <mergeCell ref="C22:E22"/>
    <mergeCell ref="C23:E23"/>
    <mergeCell ref="C24:E24"/>
    <mergeCell ref="C25:E25"/>
    <mergeCell ref="C26:E26"/>
    <mergeCell ref="C27:E27"/>
    <mergeCell ref="C28:E28"/>
    <mergeCell ref="D16:F16"/>
    <mergeCell ref="B6:C6"/>
    <mergeCell ref="D6:E6"/>
    <mergeCell ref="B7:F7"/>
    <mergeCell ref="C8:E8"/>
    <mergeCell ref="D9:F9"/>
    <mergeCell ref="C10:E10"/>
    <mergeCell ref="C11:E11"/>
    <mergeCell ref="C12:E12"/>
    <mergeCell ref="C14:D14"/>
    <mergeCell ref="E14:F14"/>
    <mergeCell ref="D15:F15"/>
    <mergeCell ref="B1:F1"/>
    <mergeCell ref="B2:D2"/>
    <mergeCell ref="B3:F3"/>
    <mergeCell ref="B4:F4"/>
    <mergeCell ref="B5:C5"/>
    <mergeCell ref="D5:F5"/>
  </mergeCells>
  <printOptions horizontalCentered="1"/>
  <pageMargins left="7.9861111111111105E-2" right="0.05" top="0.196527777777778" bottom="0.15763888888888899" header="0.51180555555555496" footer="0.51180555555555496"/>
  <pageSetup paperSize="9" orientation="portrait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207</vt:i4>
      </vt:variant>
    </vt:vector>
  </HeadingPairs>
  <TitlesOfParts>
    <vt:vector size="220" baseType="lpstr">
      <vt:lpstr>INSTRUÇOES PARA PREENCHIMENTO</vt:lpstr>
      <vt:lpstr>MODELO PROPOSTA</vt:lpstr>
      <vt:lpstr>Cálculo do BDI</vt:lpstr>
      <vt:lpstr>Oficial de Manutenção-Estimado</vt:lpstr>
      <vt:lpstr>Oficial de Manutenção</vt:lpstr>
      <vt:lpstr>Auxiliar de Manutenção-Estimado</vt:lpstr>
      <vt:lpstr>Auxiliar de Manutenção</vt:lpstr>
      <vt:lpstr>Eletrotécnico-Estimado</vt:lpstr>
      <vt:lpstr>Eletrotécnico</vt:lpstr>
      <vt:lpstr>Uniforme</vt:lpstr>
      <vt:lpstr>Materiais de Reposição</vt:lpstr>
      <vt:lpstr>DADOS-ESTATISTICOS</vt:lpstr>
      <vt:lpstr>ENCARGOS-SOCIAIS-E-TRABALHISTAS</vt:lpstr>
      <vt:lpstr>'Auxiliar de Manutenção'!AL_1_A_SAL_BASE</vt:lpstr>
      <vt:lpstr>'Auxiliar de Manutenção-Estimado'!AL_1_A_SAL_BASE</vt:lpstr>
      <vt:lpstr>Eletrotécnico!AL_1_A_SAL_BASE</vt:lpstr>
      <vt:lpstr>'Eletrotécnico-Estimado'!AL_1_A_SAL_BASE</vt:lpstr>
      <vt:lpstr>'Oficial de Manutenção'!AL_1_A_SAL_BASE</vt:lpstr>
      <vt:lpstr>'Oficial de Manutenção-Estimado'!AL_1_A_SAL_BASE</vt:lpstr>
      <vt:lpstr>'Auxiliar de Manutenção'!AL_1_B_ADIC_PERIC</vt:lpstr>
      <vt:lpstr>'Auxiliar de Manutenção-Estimado'!AL_1_B_ADIC_PERIC</vt:lpstr>
      <vt:lpstr>Eletrotécnico!AL_1_B_ADIC_PERIC</vt:lpstr>
      <vt:lpstr>'Eletrotécnico-Estimado'!AL_1_B_ADIC_PERIC</vt:lpstr>
      <vt:lpstr>'Oficial de Manutenção'!AL_1_B_ADIC_PERIC</vt:lpstr>
      <vt:lpstr>'Oficial de Manutenção-Estimado'!AL_1_B_ADIC_PERIC</vt:lpstr>
      <vt:lpstr>'Auxiliar de Manutenção'!AL_1_C_ADIC_NOT</vt:lpstr>
      <vt:lpstr>'Auxiliar de Manutenção-Estimado'!AL_1_C_ADIC_NOT</vt:lpstr>
      <vt:lpstr>Eletrotécnico!AL_1_C_ADIC_NOT</vt:lpstr>
      <vt:lpstr>'Eletrotécnico-Estimado'!AL_1_C_ADIC_NOT</vt:lpstr>
      <vt:lpstr>'Oficial de Manutenção'!AL_1_C_ADIC_NOT</vt:lpstr>
      <vt:lpstr>'Oficial de Manutenção-Estimado'!AL_1_C_ADIC_NOT</vt:lpstr>
      <vt:lpstr>'Auxiliar de Manutenção'!AL_1_D_ADIC_NOT_RED</vt:lpstr>
      <vt:lpstr>'Auxiliar de Manutenção-Estimado'!AL_1_D_ADIC_NOT_RED</vt:lpstr>
      <vt:lpstr>Eletrotécnico!AL_1_D_ADIC_NOT_RED</vt:lpstr>
      <vt:lpstr>'Eletrotécnico-Estimado'!AL_1_D_ADIC_NOT_RED</vt:lpstr>
      <vt:lpstr>'Oficial de Manutenção'!AL_1_D_ADIC_NOT_RED</vt:lpstr>
      <vt:lpstr>'Oficial de Manutenção-Estimado'!AL_1_D_ADIC_NOT_RED</vt:lpstr>
      <vt:lpstr>'Auxiliar de Manutenção'!AL_2_1_A_DEC_TERC</vt:lpstr>
      <vt:lpstr>'Auxiliar de Manutenção-Estimado'!AL_2_1_A_DEC_TERC</vt:lpstr>
      <vt:lpstr>Eletrotécnico!AL_2_1_A_DEC_TERC</vt:lpstr>
      <vt:lpstr>'Eletrotécnico-Estimado'!AL_2_1_A_DEC_TERC</vt:lpstr>
      <vt:lpstr>'Oficial de Manutenção'!AL_2_1_A_DEC_TERC</vt:lpstr>
      <vt:lpstr>'Oficial de Manutenção-Estimado'!AL_2_1_A_DEC_TERC</vt:lpstr>
      <vt:lpstr>'Auxiliar de Manutenção'!AL_2_1_B_ADIC_FERIAS</vt:lpstr>
      <vt:lpstr>'Auxiliar de Manutenção-Estimado'!AL_2_1_B_ADIC_FERIAS</vt:lpstr>
      <vt:lpstr>Eletrotécnico!AL_2_1_B_ADIC_FERIAS</vt:lpstr>
      <vt:lpstr>'Eletrotécnico-Estimado'!AL_2_1_B_ADIC_FERIAS</vt:lpstr>
      <vt:lpstr>'Oficial de Manutenção'!AL_2_1_B_ADIC_FERIAS</vt:lpstr>
      <vt:lpstr>'Oficial de Manutenção-Estimado'!AL_2_1_B_ADIC_FERIAS</vt:lpstr>
      <vt:lpstr>'Auxiliar de Manutenção'!AL_2_2_FGTS</vt:lpstr>
      <vt:lpstr>'Auxiliar de Manutenção-Estimado'!AL_2_2_FGTS</vt:lpstr>
      <vt:lpstr>Eletrotécnico!AL_2_2_FGTS</vt:lpstr>
      <vt:lpstr>'Eletrotécnico-Estimado'!AL_2_2_FGTS</vt:lpstr>
      <vt:lpstr>'Oficial de Manutenção'!AL_2_2_FGTS</vt:lpstr>
      <vt:lpstr>'Oficial de Manutenção-Estimado'!AL_2_2_FGTS</vt:lpstr>
      <vt:lpstr>'Auxiliar de Manutenção'!AL_2_3_A_TRANSP</vt:lpstr>
      <vt:lpstr>'Auxiliar de Manutenção-Estimado'!AL_2_3_A_TRANSP</vt:lpstr>
      <vt:lpstr>Eletrotécnico!AL_2_3_A_TRANSP</vt:lpstr>
      <vt:lpstr>'Eletrotécnico-Estimado'!AL_2_3_A_TRANSP</vt:lpstr>
      <vt:lpstr>'Oficial de Manutenção'!AL_2_3_A_TRANSP</vt:lpstr>
      <vt:lpstr>'Oficial de Manutenção-Estimado'!AL_2_3_A_TRANSP</vt:lpstr>
      <vt:lpstr>'Auxiliar de Manutenção'!AL_2_3_B_AUX_ALIMENT</vt:lpstr>
      <vt:lpstr>'Auxiliar de Manutenção-Estimado'!AL_2_3_B_AUX_ALIMENT</vt:lpstr>
      <vt:lpstr>Eletrotécnico!AL_2_3_B_AUX_ALIMENT</vt:lpstr>
      <vt:lpstr>'Eletrotécnico-Estimado'!AL_2_3_B_AUX_ALIMENT</vt:lpstr>
      <vt:lpstr>'Oficial de Manutenção'!AL_2_3_B_AUX_ALIMENT</vt:lpstr>
      <vt:lpstr>'Oficial de Manutenção-Estimado'!AL_2_3_B_AUX_ALIMENT</vt:lpstr>
      <vt:lpstr>'Auxiliar de Manutenção'!AL_2_3_C_OUTROS_BENEF</vt:lpstr>
      <vt:lpstr>'Auxiliar de Manutenção-Estimado'!AL_2_3_C_OUTROS_BENEF</vt:lpstr>
      <vt:lpstr>Eletrotécnico!AL_2_3_C_OUTROS_BENEF</vt:lpstr>
      <vt:lpstr>'Eletrotécnico-Estimado'!AL_2_3_C_OUTROS_BENEF</vt:lpstr>
      <vt:lpstr>'Oficial de Manutenção'!AL_2_3_C_OUTROS_BENEF</vt:lpstr>
      <vt:lpstr>'Oficial de Manutenção-Estimado'!AL_2_3_C_OUTROS_BENEF</vt:lpstr>
      <vt:lpstr>'Auxiliar de Manutenção'!AL_2_A_ATE_2_G_GPS</vt:lpstr>
      <vt:lpstr>'Auxiliar de Manutenção-Estimado'!AL_2_A_ATE_2_G_GPS</vt:lpstr>
      <vt:lpstr>Eletrotécnico!AL_2_A_ATE_2_G_GPS</vt:lpstr>
      <vt:lpstr>'Eletrotécnico-Estimado'!AL_2_A_ATE_2_G_GPS</vt:lpstr>
      <vt:lpstr>'Oficial de Manutenção'!AL_2_A_ATE_2_G_GPS</vt:lpstr>
      <vt:lpstr>'Oficial de Manutenção-Estimado'!AL_2_A_ATE_2_G_GPS</vt:lpstr>
      <vt:lpstr>'Auxiliar de Manutenção'!AL_6_A_CUSTOS_INDIRETOS</vt:lpstr>
      <vt:lpstr>'Auxiliar de Manutenção-Estimado'!AL_6_A_CUSTOS_INDIRETOS</vt:lpstr>
      <vt:lpstr>Eletrotécnico!AL_6_A_CUSTOS_INDIRETOS</vt:lpstr>
      <vt:lpstr>'Eletrotécnico-Estimado'!AL_6_A_CUSTOS_INDIRETOS</vt:lpstr>
      <vt:lpstr>'Oficial de Manutenção'!AL_6_A_CUSTOS_INDIRETOS</vt:lpstr>
      <vt:lpstr>'Oficial de Manutenção-Estimado'!AL_6_A_CUSTOS_INDIRETOS</vt:lpstr>
      <vt:lpstr>'Auxiliar de Manutenção'!AL_6_B_LUCRO</vt:lpstr>
      <vt:lpstr>'Auxiliar de Manutenção-Estimado'!AL_6_B_LUCRO</vt:lpstr>
      <vt:lpstr>Eletrotécnico!AL_6_B_LUCRO</vt:lpstr>
      <vt:lpstr>'Eletrotécnico-Estimado'!AL_6_B_LUCRO</vt:lpstr>
      <vt:lpstr>'Oficial de Manutenção'!AL_6_B_LUCRO</vt:lpstr>
      <vt:lpstr>'Oficial de Manutenção-Estimado'!AL_6_B_LUCRO</vt:lpstr>
      <vt:lpstr>'Auxiliar de Manutenção'!AL_6_C_1_PIS</vt:lpstr>
      <vt:lpstr>'Auxiliar de Manutenção-Estimado'!AL_6_C_1_PIS</vt:lpstr>
      <vt:lpstr>Eletrotécnico!AL_6_C_1_PIS</vt:lpstr>
      <vt:lpstr>'Eletrotécnico-Estimado'!AL_6_C_1_PIS</vt:lpstr>
      <vt:lpstr>'Oficial de Manutenção'!AL_6_C_1_PIS</vt:lpstr>
      <vt:lpstr>'Oficial de Manutenção-Estimado'!AL_6_C_1_PIS</vt:lpstr>
      <vt:lpstr>'Auxiliar de Manutenção'!AL_6_C_2_COFINS</vt:lpstr>
      <vt:lpstr>'Auxiliar de Manutenção-Estimado'!AL_6_C_2_COFINS</vt:lpstr>
      <vt:lpstr>Eletrotécnico!AL_6_C_2_COFINS</vt:lpstr>
      <vt:lpstr>'Eletrotécnico-Estimado'!AL_6_C_2_COFINS</vt:lpstr>
      <vt:lpstr>'Oficial de Manutenção'!AL_6_C_2_COFINS</vt:lpstr>
      <vt:lpstr>'Oficial de Manutenção-Estimado'!AL_6_C_2_COFINS</vt:lpstr>
      <vt:lpstr>'Auxiliar de Manutenção'!AL_6_C_3_ISS</vt:lpstr>
      <vt:lpstr>'Auxiliar de Manutenção-Estimado'!AL_6_C_3_ISS</vt:lpstr>
      <vt:lpstr>Eletrotécnico!AL_6_C_3_ISS</vt:lpstr>
      <vt:lpstr>'Eletrotécnico-Estimado'!AL_6_C_3_ISS</vt:lpstr>
      <vt:lpstr>'Oficial de Manutenção'!AL_6_C_3_ISS</vt:lpstr>
      <vt:lpstr>'Oficial de Manutenção-Estimado'!AL_6_C_3_ISS</vt:lpstr>
      <vt:lpstr>'Auxiliar de Manutenção'!AL_6_C_TRIBUTOS</vt:lpstr>
      <vt:lpstr>'Auxiliar de Manutenção-Estimado'!AL_6_C_TRIBUTOS</vt:lpstr>
      <vt:lpstr>Eletrotécnico!AL_6_C_TRIBUTOS</vt:lpstr>
      <vt:lpstr>'Eletrotécnico-Estimado'!AL_6_C_TRIBUTOS</vt:lpstr>
      <vt:lpstr>'Oficial de Manutenção'!AL_6_C_TRIBUTOS</vt:lpstr>
      <vt:lpstr>'Oficial de Manutenção-Estimado'!AL_6_C_TRIBUTOS</vt:lpstr>
      <vt:lpstr>'Cálculo do BDI'!Area_de_impressao</vt:lpstr>
      <vt:lpstr>'INSTRUÇOES PARA PREENCHIMENTO'!Area_de_impressao</vt:lpstr>
      <vt:lpstr>'MODELO PROPOSTA'!Area_de_impressao</vt:lpstr>
      <vt:lpstr>DIAS_AUSENCIAS_LEGAIS</vt:lpstr>
      <vt:lpstr>DIAS_LICENCA_MATERNIDADE</vt:lpstr>
      <vt:lpstr>DIAS_LICENCA_PATERNIDADE</vt:lpstr>
      <vt:lpstr>DIAS_NA_SEMANA</vt:lpstr>
      <vt:lpstr>DIAS_NO_ANO</vt:lpstr>
      <vt:lpstr>DIAS_NO_MES</vt:lpstr>
      <vt:lpstr>DIAS_PAGOS_EMPRESA_ACID_TRAB</vt:lpstr>
      <vt:lpstr>DIVISOR_DE_HORAS</vt:lpstr>
      <vt:lpstr>HORA_NORMAL</vt:lpstr>
      <vt:lpstr>HORA_NOTURNA</vt:lpstr>
      <vt:lpstr>MEDIA_ANUAL_DIAS_TRABALHO_MES</vt:lpstr>
      <vt:lpstr>MESES_NO_ANO</vt:lpstr>
      <vt:lpstr>'Auxiliar de Manutenção'!MOD_1_REMUNERACAO</vt:lpstr>
      <vt:lpstr>'Auxiliar de Manutenção-Estimado'!MOD_1_REMUNERACAO</vt:lpstr>
      <vt:lpstr>Eletrotécnico!MOD_1_REMUNERACAO</vt:lpstr>
      <vt:lpstr>'Eletrotécnico-Estimado'!MOD_1_REMUNERACAO</vt:lpstr>
      <vt:lpstr>'Oficial de Manutenção'!MOD_1_REMUNERACAO</vt:lpstr>
      <vt:lpstr>'Oficial de Manutenção-Estimado'!MOD_1_REMUNERACAO</vt:lpstr>
      <vt:lpstr>'Auxiliar de Manutenção'!MOD_3_PROVISAO_RESCISAO</vt:lpstr>
      <vt:lpstr>'Auxiliar de Manutenção-Estimado'!MOD_3_PROVISAO_RESCISAO</vt:lpstr>
      <vt:lpstr>Eletrotécnico!MOD_3_PROVISAO_RESCISAO</vt:lpstr>
      <vt:lpstr>'Eletrotécnico-Estimado'!MOD_3_PROVISAO_RESCISAO</vt:lpstr>
      <vt:lpstr>'Oficial de Manutenção'!MOD_3_PROVISAO_RESCISAO</vt:lpstr>
      <vt:lpstr>'Oficial de Manutenção-Estimado'!MOD_3_PROVISAO_RESCISAO</vt:lpstr>
      <vt:lpstr>'Auxiliar de Manutenção'!MOD_5_INSUMOS</vt:lpstr>
      <vt:lpstr>'Auxiliar de Manutenção-Estimado'!MOD_5_INSUMOS</vt:lpstr>
      <vt:lpstr>Eletrotécnico!MOD_5_INSUMOS</vt:lpstr>
      <vt:lpstr>'Eletrotécnico-Estimado'!MOD_5_INSUMOS</vt:lpstr>
      <vt:lpstr>'Oficial de Manutenção'!MOD_5_INSUMOS</vt:lpstr>
      <vt:lpstr>'Oficial de Manutenção-Estimado'!MOD_5_INSUMOS</vt:lpstr>
      <vt:lpstr>'Auxiliar de Manutenção'!MOD_6_CUSTOS_IND_LUCRO_TRIB</vt:lpstr>
      <vt:lpstr>'Auxiliar de Manutenção-Estimado'!MOD_6_CUSTOS_IND_LUCRO_TRIB</vt:lpstr>
      <vt:lpstr>Eletrotécnico!MOD_6_CUSTOS_IND_LUCRO_TRIB</vt:lpstr>
      <vt:lpstr>'Eletrotécnico-Estimado'!MOD_6_CUSTOS_IND_LUCRO_TRIB</vt:lpstr>
      <vt:lpstr>'Oficial de Manutenção'!MOD_6_CUSTOS_IND_LUCRO_TRIB</vt:lpstr>
      <vt:lpstr>'Oficial de Manutenção-Estimado'!MOD_6_CUSTOS_IND_LUCRO_TRIB</vt:lpstr>
      <vt:lpstr>OUTRAS_AUSENCIAS</vt:lpstr>
      <vt:lpstr>PERC_DESC_TRANSP_REMUNERACAO</vt:lpstr>
      <vt:lpstr>PERC_EMPREG_AFAST_TRAB</vt:lpstr>
      <vt:lpstr>PERC_EMPREG_AVISO_PREVIO_IND</vt:lpstr>
      <vt:lpstr>PERC_EMPREG_AVISO_PREVIO_TRAB</vt:lpstr>
      <vt:lpstr>PERC_EMPREG_DEMIT_SEM_JUSTA_CAUSA_TOTAL_DESLIG</vt:lpstr>
      <vt:lpstr>'Auxiliar de Manutenção'!PERC_MOD_3_PROVISAO_RESCISAO</vt:lpstr>
      <vt:lpstr>'Auxiliar de Manutenção-Estimado'!PERC_MOD_3_PROVISAO_RESCISAO</vt:lpstr>
      <vt:lpstr>Eletrotécnico!PERC_MOD_3_PROVISAO_RESCISAO</vt:lpstr>
      <vt:lpstr>'Eletrotécnico-Estimado'!PERC_MOD_3_PROVISAO_RESCISAO</vt:lpstr>
      <vt:lpstr>'Oficial de Manutenção'!PERC_MOD_3_PROVISAO_RESCISAO</vt:lpstr>
      <vt:lpstr>'Oficial de Manutenção-Estimado'!PERC_MOD_3_PROVISAO_RESCISAO</vt:lpstr>
      <vt:lpstr>PERC_MULTA_FGTS</vt:lpstr>
      <vt:lpstr>PERC_NASCIDOS_VIVOS_POPUL_FEM</vt:lpstr>
      <vt:lpstr>PERC_PARTIC_FEM_VIGIL</vt:lpstr>
      <vt:lpstr>PERC_PARTIC_MASC_VIGIL</vt:lpstr>
      <vt:lpstr>'Auxiliar de Manutenção'!PERC_TRIBUTOS</vt:lpstr>
      <vt:lpstr>'Auxiliar de Manutenção-Estimado'!PERC_TRIBUTOS</vt:lpstr>
      <vt:lpstr>Eletrotécnico!PERC_TRIBUTOS</vt:lpstr>
      <vt:lpstr>'Eletrotécnico-Estimado'!PERC_TRIBUTOS</vt:lpstr>
      <vt:lpstr>'Oficial de Manutenção'!PERC_TRIBUTOS</vt:lpstr>
      <vt:lpstr>'Oficial de Manutenção-Estimado'!PERC_TRIBUTOS</vt:lpstr>
      <vt:lpstr>'INSTRUÇOES PARA PREENCHIMENTO'!Print_Area</vt:lpstr>
      <vt:lpstr>'MODELO PROPOSTA'!Print_Area</vt:lpstr>
      <vt:lpstr>'Auxiliar de Manutenção'!SUBMOD_2_1_DEC_TERC_ADIC_FERIAS</vt:lpstr>
      <vt:lpstr>'Auxiliar de Manutenção-Estimado'!SUBMOD_2_1_DEC_TERC_ADIC_FERIAS</vt:lpstr>
      <vt:lpstr>Eletrotécnico!SUBMOD_2_1_DEC_TERC_ADIC_FERIAS</vt:lpstr>
      <vt:lpstr>'Eletrotécnico-Estimado'!SUBMOD_2_1_DEC_TERC_ADIC_FERIAS</vt:lpstr>
      <vt:lpstr>'Oficial de Manutenção'!SUBMOD_2_1_DEC_TERC_ADIC_FERIAS</vt:lpstr>
      <vt:lpstr>'Oficial de Manutenção-Estimado'!SUBMOD_2_1_DEC_TERC_ADIC_FERIAS</vt:lpstr>
      <vt:lpstr>'Auxiliar de Manutenção'!SUBMOD_2_2_GPS_FGTS</vt:lpstr>
      <vt:lpstr>'Auxiliar de Manutenção-Estimado'!SUBMOD_2_2_GPS_FGTS</vt:lpstr>
      <vt:lpstr>Eletrotécnico!SUBMOD_2_2_GPS_FGTS</vt:lpstr>
      <vt:lpstr>'Eletrotécnico-Estimado'!SUBMOD_2_2_GPS_FGTS</vt:lpstr>
      <vt:lpstr>'Oficial de Manutenção'!SUBMOD_2_2_GPS_FGTS</vt:lpstr>
      <vt:lpstr>'Oficial de Manutenção-Estimado'!SUBMOD_2_2_GPS_FGTS</vt:lpstr>
      <vt:lpstr>'Auxiliar de Manutenção'!SUBMOD_2_3_BENEFICIOS</vt:lpstr>
      <vt:lpstr>'Auxiliar de Manutenção-Estimado'!SUBMOD_2_3_BENEFICIOS</vt:lpstr>
      <vt:lpstr>Eletrotécnico!SUBMOD_2_3_BENEFICIOS</vt:lpstr>
      <vt:lpstr>'Eletrotécnico-Estimado'!SUBMOD_2_3_BENEFICIOS</vt:lpstr>
      <vt:lpstr>'Oficial de Manutenção'!SUBMOD_2_3_BENEFICIOS</vt:lpstr>
      <vt:lpstr>'Oficial de Manutenção-Estimado'!SUBMOD_2_3_BENEFICIOS</vt:lpstr>
      <vt:lpstr>'Auxiliar de Manutenção'!SUBMOD_4_1_SUBSTITUTO</vt:lpstr>
      <vt:lpstr>'Auxiliar de Manutenção-Estimado'!SUBMOD_4_1_SUBSTITUTO</vt:lpstr>
      <vt:lpstr>Eletrotécnico!SUBMOD_4_1_SUBSTITUTO</vt:lpstr>
      <vt:lpstr>'Eletrotécnico-Estimado'!SUBMOD_4_1_SUBSTITUTO</vt:lpstr>
      <vt:lpstr>'Oficial de Manutenção'!SUBMOD_4_1_SUBSTITUTO</vt:lpstr>
      <vt:lpstr>'Oficial de Manutenção-Estimado'!SUBMOD_4_1_SUBSTITUTO</vt:lpstr>
      <vt:lpstr>'Auxiliar de Manutenção'!SUBMOD_4_2_INTRAJORNADA</vt:lpstr>
      <vt:lpstr>'Auxiliar de Manutenção-Estimado'!SUBMOD_4_2_INTRAJORNADA</vt:lpstr>
      <vt:lpstr>Eletrotécnico!SUBMOD_4_2_INTRAJORNADA</vt:lpstr>
      <vt:lpstr>'Eletrotécnico-Estimado'!SUBMOD_4_2_INTRAJORNADA</vt:lpstr>
      <vt:lpstr>'Oficial de Manutenção'!SUBMOD_4_2_INTRAJORNADA</vt:lpstr>
      <vt:lpstr>'Oficial de Manutenção-Estimado'!SUBMOD_4_2_INTRAJORNADA</vt:lpstr>
      <vt:lpstr>'Auxiliar de Manutenção'!VALOR_TOTAL_EMPREGADO</vt:lpstr>
      <vt:lpstr>'Auxiliar de Manutenção-Estimado'!VALOR_TOTAL_EMPREGADO</vt:lpstr>
      <vt:lpstr>Eletrotécnico!VALOR_TOTAL_EMPREGADO</vt:lpstr>
      <vt:lpstr>'Eletrotécnico-Estimado'!VALOR_TOTAL_EMPREGADO</vt:lpstr>
      <vt:lpstr>'Oficial de Manutenção'!VALOR_TOTAL_EMPREGADO</vt:lpstr>
      <vt:lpstr>'Oficial de Manutenção-Estimado'!VALOR_TOTAL_EMPREGADO</vt:lpstr>
      <vt:lpstr>'Auxiliar de Manutenção'!VALOR_TOTAL_POSTO</vt:lpstr>
      <vt:lpstr>'Auxiliar de Manutenção-Estimado'!VALOR_TOTAL_POSTO</vt:lpstr>
      <vt:lpstr>Eletrotécnico!VALOR_TOTAL_POSTO</vt:lpstr>
      <vt:lpstr>'Eletrotécnico-Estimado'!VALOR_TOTAL_POSTO</vt:lpstr>
      <vt:lpstr>'Oficial de Manutenção'!VALOR_TOTAL_POSTO</vt:lpstr>
      <vt:lpstr>'Oficial de Manutenção-Estimado'!VALOR_TOTAL_POSTO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2023-03-24T13:18:55Z</cp:lastPrinted>
  <dcterms:created xsi:type="dcterms:W3CDTF">2020-02-12T11:04:56Z</dcterms:created>
  <dcterms:modified xsi:type="dcterms:W3CDTF">2023-03-30T13:03:12Z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